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merciale\DIRCM_RELCL\00_SOL_restart_2021\005_simulazione fornitura e consumi\fogli xls\ottobre finale\puglia 2021 2022\"/>
    </mc:Choice>
  </mc:AlternateContent>
  <workbookProtection workbookAlgorithmName="SHA-512" workbookHashValue="5j2v/cYuJviLVy8b8Zi2N4M0GyOf+zNydV3UT5C+1bO+TF9rpd3QEq5/GnqJIr+zJKjkmmQvdC43BIFx44svrw==" workbookSaltValue="F5FlXbyCLwp6+6ADG6t+7w==" workbookSpinCount="100000" lockStructure="1"/>
  <bookViews>
    <workbookView xWindow="0" yWindow="0" windowWidth="28800" windowHeight="12000" tabRatio="438" firstSheet="2" activeTab="2"/>
  </bookViews>
  <sheets>
    <sheet name="Motore 2021" sheetId="3" state="hidden" r:id="rId1"/>
    <sheet name="Motore 2022" sheetId="5" state="hidden" r:id="rId2"/>
    <sheet name="Ripartizione" sheetId="2" r:id="rId3"/>
    <sheet name="Foglio1" sheetId="4" state="hidden" r:id="rId4"/>
  </sheets>
  <definedNames>
    <definedName name="_xlnm.Print_Area" localSheetId="2">Ripartizione!$A$6:$BX$34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O27" i="2" l="1"/>
  <c r="BN28" i="2"/>
  <c r="BN29" i="2"/>
  <c r="BN30" i="2"/>
  <c r="BN31" i="2"/>
  <c r="BN32" i="2"/>
  <c r="BN33" i="2"/>
  <c r="BN34" i="2"/>
  <c r="BN27" i="2"/>
  <c r="BM28" i="2"/>
  <c r="BM29" i="2"/>
  <c r="BM30" i="2"/>
  <c r="BM31" i="2"/>
  <c r="BM32" i="2"/>
  <c r="BM33" i="2"/>
  <c r="BM34" i="2"/>
  <c r="BM27" i="2"/>
  <c r="BL28" i="2"/>
  <c r="BL29" i="2"/>
  <c r="BL30" i="2"/>
  <c r="BL31" i="2"/>
  <c r="BL32" i="2"/>
  <c r="BL33" i="2"/>
  <c r="BL34" i="2"/>
  <c r="BL27" i="2"/>
  <c r="BK28" i="2"/>
  <c r="BK29" i="2"/>
  <c r="BK30" i="2"/>
  <c r="BK31" i="2"/>
  <c r="BK32" i="2"/>
  <c r="BK33" i="2"/>
  <c r="BK34" i="2"/>
  <c r="BK27" i="2"/>
  <c r="BH28" i="2"/>
  <c r="BH29" i="2"/>
  <c r="BH30" i="2"/>
  <c r="BH31" i="2"/>
  <c r="BH32" i="2"/>
  <c r="BH33" i="2"/>
  <c r="BH34" i="2"/>
  <c r="BH27" i="2"/>
  <c r="BG27" i="2"/>
  <c r="BG28" i="2"/>
  <c r="BG29" i="2"/>
  <c r="BG30" i="2"/>
  <c r="BG31" i="2"/>
  <c r="BG32" i="2"/>
  <c r="BG33" i="2"/>
  <c r="BG34" i="2"/>
  <c r="BF28" i="2"/>
  <c r="BF29" i="2"/>
  <c r="BF30" i="2"/>
  <c r="BF31" i="2"/>
  <c r="BF32" i="2"/>
  <c r="BF33" i="2"/>
  <c r="BF34" i="2"/>
  <c r="BF27" i="2"/>
  <c r="BE28" i="2"/>
  <c r="BE29" i="2"/>
  <c r="BE30" i="2"/>
  <c r="BE31" i="2"/>
  <c r="BE32" i="2"/>
  <c r="BE33" i="2"/>
  <c r="BE34" i="2"/>
  <c r="BE27" i="2"/>
  <c r="BD27" i="2" l="1"/>
  <c r="BB28" i="2"/>
  <c r="BB29" i="2"/>
  <c r="BB30" i="2"/>
  <c r="BB31" i="2"/>
  <c r="BB32" i="2"/>
  <c r="BB33" i="2"/>
  <c r="BB34" i="2"/>
  <c r="BB27" i="2"/>
  <c r="AZ28" i="2"/>
  <c r="AZ29" i="2"/>
  <c r="AZ30" i="2"/>
  <c r="AZ31" i="2"/>
  <c r="AZ32" i="2"/>
  <c r="AZ33" i="2"/>
  <c r="AZ34" i="2"/>
  <c r="AZ27" i="2"/>
  <c r="AY28" i="2"/>
  <c r="AY29" i="2"/>
  <c r="AY30" i="2"/>
  <c r="AY31" i="2"/>
  <c r="AY32" i="2"/>
  <c r="AY33" i="2"/>
  <c r="AY34" i="2"/>
  <c r="AY27" i="2"/>
  <c r="BA28" i="2"/>
  <c r="BA29" i="2"/>
  <c r="BA30" i="2"/>
  <c r="BA31" i="2"/>
  <c r="BA32" i="2"/>
  <c r="BA33" i="2"/>
  <c r="BA34" i="2"/>
  <c r="BA27" i="2"/>
  <c r="K28" i="2" l="1"/>
  <c r="K29" i="2"/>
  <c r="K30" i="2"/>
  <c r="K31" i="2"/>
  <c r="K32" i="2"/>
  <c r="K33" i="2"/>
  <c r="K34" i="2"/>
  <c r="K27" i="2"/>
  <c r="BD29" i="2" l="1"/>
  <c r="BD34" i="2"/>
  <c r="BD31" i="2"/>
  <c r="BD33" i="2"/>
  <c r="BC27" i="2"/>
  <c r="BD32" i="2"/>
  <c r="BC31" i="2"/>
  <c r="BC34" i="2"/>
  <c r="BC33" i="2"/>
  <c r="BC32" i="2"/>
  <c r="BC30" i="2"/>
  <c r="BC29" i="2"/>
  <c r="BD28" i="2"/>
  <c r="BD30" i="2"/>
  <c r="BC28" i="2"/>
  <c r="E27" i="2" l="1"/>
  <c r="E34" i="2"/>
  <c r="E33" i="2"/>
  <c r="E32" i="2"/>
  <c r="E31" i="2"/>
  <c r="E30" i="2"/>
  <c r="E29" i="2"/>
  <c r="E28" i="2"/>
  <c r="H28" i="2" l="1"/>
  <c r="I28" i="2"/>
  <c r="J28" i="2"/>
  <c r="H29" i="2"/>
  <c r="I29" i="2" s="1"/>
  <c r="J29" i="2"/>
  <c r="H30" i="2"/>
  <c r="I30" i="2" s="1"/>
  <c r="F30" i="2" s="1"/>
  <c r="J30" i="2"/>
  <c r="H31" i="2"/>
  <c r="I31" i="2"/>
  <c r="J31" i="2"/>
  <c r="H32" i="2"/>
  <c r="I32" i="2"/>
  <c r="J32" i="2"/>
  <c r="H33" i="2"/>
  <c r="I33" i="2"/>
  <c r="J33" i="2"/>
  <c r="H34" i="2"/>
  <c r="I34" i="2"/>
  <c r="J34" i="2"/>
  <c r="F31" i="2" l="1"/>
  <c r="BI31" i="2"/>
  <c r="F34" i="2"/>
  <c r="BI34" i="2"/>
  <c r="F32" i="2"/>
  <c r="F33" i="2"/>
  <c r="BJ33" i="2"/>
  <c r="BI33" i="2"/>
  <c r="F29" i="2"/>
  <c r="F28" i="2"/>
  <c r="G31" i="5"/>
  <c r="B14" i="5" s="1"/>
  <c r="C14" i="5" s="1"/>
  <c r="G30" i="5"/>
  <c r="H30" i="5" s="1"/>
  <c r="G29" i="5"/>
  <c r="B12" i="5" s="1"/>
  <c r="C12" i="5" s="1"/>
  <c r="G28" i="5"/>
  <c r="H28" i="5" s="1"/>
  <c r="K17" i="5"/>
  <c r="K18" i="5" s="1"/>
  <c r="B15" i="5"/>
  <c r="C13" i="5"/>
  <c r="B13" i="5"/>
  <c r="K11" i="5"/>
  <c r="J11" i="5"/>
  <c r="J17" i="5" s="1"/>
  <c r="I11" i="5"/>
  <c r="I17" i="5" s="1"/>
  <c r="H11" i="5"/>
  <c r="H17" i="5" s="1"/>
  <c r="B7" i="5"/>
  <c r="B8" i="5" s="1"/>
  <c r="BJ31" i="2" l="1"/>
  <c r="BI32" i="2"/>
  <c r="BJ32" i="2"/>
  <c r="BJ34" i="2"/>
  <c r="H19" i="5"/>
  <c r="H18" i="5"/>
  <c r="I18" i="5"/>
  <c r="I19" i="5"/>
  <c r="J18" i="5"/>
  <c r="J19" i="5"/>
  <c r="B11" i="5"/>
  <c r="C11" i="5" s="1"/>
  <c r="C17" i="5" s="1"/>
  <c r="H31" i="5"/>
  <c r="H29" i="5"/>
  <c r="K19" i="5"/>
  <c r="D11" i="5" l="1"/>
  <c r="E11" i="5" l="1"/>
  <c r="D12" i="5"/>
  <c r="E12" i="5" s="1"/>
  <c r="F12" i="5" s="1"/>
  <c r="G12" i="5" s="1"/>
  <c r="D8" i="5"/>
  <c r="D13" i="5" l="1"/>
  <c r="E13" i="5" s="1"/>
  <c r="F13" i="5" s="1"/>
  <c r="G13" i="5" s="1"/>
  <c r="F11" i="5"/>
  <c r="D14" i="5" l="1"/>
  <c r="E14" i="5" s="1"/>
  <c r="F14" i="5" s="1"/>
  <c r="G14" i="5" s="1"/>
  <c r="D15" i="5"/>
  <c r="E15" i="5" s="1"/>
  <c r="F15" i="5" s="1"/>
  <c r="G15" i="5" s="1"/>
  <c r="G11" i="5"/>
  <c r="G17" i="5" l="1"/>
  <c r="F17" i="5"/>
  <c r="D17" i="5"/>
  <c r="E17" i="5"/>
  <c r="G18" i="5" l="1"/>
  <c r="G19" i="5" s="1"/>
  <c r="B21" i="5" s="1"/>
  <c r="G31" i="3" l="1"/>
  <c r="D14" i="2" l="1"/>
  <c r="J27" i="2"/>
  <c r="H27" i="2"/>
  <c r="I27" i="2" s="1"/>
  <c r="L32" i="2" l="1"/>
  <c r="L33" i="2"/>
  <c r="L28" i="2"/>
  <c r="L30" i="2"/>
  <c r="L29" i="2"/>
  <c r="L31" i="2"/>
  <c r="L34" i="2"/>
  <c r="F27" i="2"/>
  <c r="L27" i="2"/>
  <c r="N34" i="2" l="1"/>
  <c r="P34" i="2" s="1"/>
  <c r="R34" i="2" s="1"/>
  <c r="N32" i="2"/>
  <c r="N30" i="2"/>
  <c r="N28" i="2"/>
  <c r="N33" i="2"/>
  <c r="P33" i="2" s="1"/>
  <c r="R33" i="2" s="1"/>
  <c r="N31" i="2"/>
  <c r="N29" i="2"/>
  <c r="N27" i="2"/>
  <c r="T34" i="2" l="1"/>
  <c r="V34" i="2" s="1"/>
  <c r="X34" i="2" s="1"/>
  <c r="T29" i="2"/>
  <c r="P29" i="2"/>
  <c r="R29" i="2" s="1"/>
  <c r="T32" i="2"/>
  <c r="V32" i="2" s="1"/>
  <c r="X32" i="2" s="1"/>
  <c r="P32" i="2"/>
  <c r="R32" i="2" s="1"/>
  <c r="P30" i="2"/>
  <c r="R30" i="2" s="1"/>
  <c r="T30" i="2"/>
  <c r="T28" i="2"/>
  <c r="P28" i="2"/>
  <c r="R28" i="2" s="1"/>
  <c r="T31" i="2"/>
  <c r="P31" i="2"/>
  <c r="R31" i="2" s="1"/>
  <c r="T33" i="2"/>
  <c r="V33" i="2" s="1"/>
  <c r="X33" i="2" s="1"/>
  <c r="F20" i="2"/>
  <c r="F21" i="2" s="1"/>
  <c r="D20" i="2" s="1"/>
  <c r="Z34" i="2" l="1"/>
  <c r="AB34" i="2" s="1"/>
  <c r="AD34" i="2" s="1"/>
  <c r="Z33" i="2"/>
  <c r="AB33" i="2" s="1"/>
  <c r="AD33" i="2" s="1"/>
  <c r="V29" i="2"/>
  <c r="X29" i="2" s="1"/>
  <c r="Z29" i="2"/>
  <c r="AB29" i="2" s="1"/>
  <c r="AD29" i="2" s="1"/>
  <c r="V28" i="2"/>
  <c r="X28" i="2" s="1"/>
  <c r="Z28" i="2"/>
  <c r="AB28" i="2" s="1"/>
  <c r="AD28" i="2" s="1"/>
  <c r="V31" i="2"/>
  <c r="X31" i="2" s="1"/>
  <c r="Z31" i="2"/>
  <c r="AF31" i="2" s="1"/>
  <c r="AH31" i="2" s="1"/>
  <c r="AJ31" i="2" s="1"/>
  <c r="V30" i="2"/>
  <c r="X30" i="2" s="1"/>
  <c r="Z32" i="2"/>
  <c r="AB32" i="2" s="1"/>
  <c r="AD32" i="2" s="1"/>
  <c r="Z30" i="2"/>
  <c r="AB30" i="2" s="1"/>
  <c r="AD30" i="2" s="1"/>
  <c r="B25" i="2"/>
  <c r="D25" i="2"/>
  <c r="C25" i="2"/>
  <c r="C18" i="2"/>
  <c r="AF32" i="2" l="1"/>
  <c r="AH32" i="2" s="1"/>
  <c r="AJ32" i="2" s="1"/>
  <c r="AF33" i="2"/>
  <c r="AF34" i="2"/>
  <c r="AH34" i="2" s="1"/>
  <c r="AJ34" i="2" s="1"/>
  <c r="AF30" i="2"/>
  <c r="AH30" i="2" s="1"/>
  <c r="AJ30" i="2" s="1"/>
  <c r="AF29" i="2"/>
  <c r="AH29" i="2" s="1"/>
  <c r="AJ29" i="2" s="1"/>
  <c r="AF28" i="2"/>
  <c r="AH28" i="2" s="1"/>
  <c r="AJ28" i="2" s="1"/>
  <c r="AB31" i="2"/>
  <c r="AD31" i="2" s="1"/>
  <c r="AL31" i="2"/>
  <c r="AN31" i="2" s="1"/>
  <c r="AP31" i="2" s="1"/>
  <c r="AL32" i="2"/>
  <c r="AN32" i="2" s="1"/>
  <c r="AP32" i="2" s="1"/>
  <c r="D13" i="2"/>
  <c r="AH33" i="2" l="1"/>
  <c r="AJ33" i="2" s="1"/>
  <c r="AL33" i="2"/>
  <c r="AN33" i="2" s="1"/>
  <c r="AP33" i="2" s="1"/>
  <c r="AL30" i="2"/>
  <c r="AN30" i="2" s="1"/>
  <c r="AP30" i="2" s="1"/>
  <c r="AL28" i="2"/>
  <c r="AN28" i="2" s="1"/>
  <c r="AP28" i="2" s="1"/>
  <c r="AL34" i="2"/>
  <c r="AN34" i="2" s="1"/>
  <c r="AP34" i="2" s="1"/>
  <c r="BI30" i="2"/>
  <c r="BJ29" i="2"/>
  <c r="BI28" i="2"/>
  <c r="BJ28" i="2"/>
  <c r="BJ30" i="2"/>
  <c r="BI29" i="2"/>
  <c r="AL29" i="2"/>
  <c r="AN29" i="2" s="1"/>
  <c r="AP29" i="2" s="1"/>
  <c r="BI27" i="2"/>
  <c r="BJ27" i="2"/>
  <c r="M31" i="2"/>
  <c r="M34" i="2"/>
  <c r="M29" i="2"/>
  <c r="M28" i="2"/>
  <c r="M32" i="2"/>
  <c r="M30" i="2"/>
  <c r="M33" i="2"/>
  <c r="D15" i="2"/>
  <c r="M27" i="2"/>
  <c r="C19" i="2"/>
  <c r="O30" i="2" l="1"/>
  <c r="Q30" i="2" s="1"/>
  <c r="S30" i="2" s="1"/>
  <c r="AR30" i="2" s="1"/>
  <c r="O32" i="2"/>
  <c r="Q32" i="2" s="1"/>
  <c r="S32" i="2" s="1"/>
  <c r="AR32" i="2" s="1"/>
  <c r="U32" i="2"/>
  <c r="W32" i="2" s="1"/>
  <c r="Y32" i="2" s="1"/>
  <c r="AS32" i="2" s="1"/>
  <c r="O28" i="2"/>
  <c r="Q28" i="2" s="1"/>
  <c r="S28" i="2" s="1"/>
  <c r="AR28" i="2" s="1"/>
  <c r="O29" i="2"/>
  <c r="Q29" i="2" s="1"/>
  <c r="S29" i="2" s="1"/>
  <c r="AR29" i="2" s="1"/>
  <c r="O34" i="2"/>
  <c r="Q34" i="2" s="1"/>
  <c r="S34" i="2" s="1"/>
  <c r="AR34" i="2" s="1"/>
  <c r="O33" i="2"/>
  <c r="Q33" i="2" s="1"/>
  <c r="S33" i="2" s="1"/>
  <c r="AR33" i="2" s="1"/>
  <c r="O31" i="2"/>
  <c r="Q31" i="2" s="1"/>
  <c r="S31" i="2" s="1"/>
  <c r="AR31" i="2" s="1"/>
  <c r="U31" i="2"/>
  <c r="W31" i="2" s="1"/>
  <c r="Y31" i="2" s="1"/>
  <c r="AS31" i="2" s="1"/>
  <c r="T27" i="2"/>
  <c r="P27" i="2"/>
  <c r="R27" i="2" s="1"/>
  <c r="AA31" i="2" l="1"/>
  <c r="AC31" i="2" s="1"/>
  <c r="AE31" i="2" s="1"/>
  <c r="AT31" i="2" s="1"/>
  <c r="U34" i="2"/>
  <c r="U29" i="2"/>
  <c r="W29" i="2" s="1"/>
  <c r="Y29" i="2" s="1"/>
  <c r="AS29" i="2" s="1"/>
  <c r="U28" i="2"/>
  <c r="W28" i="2" s="1"/>
  <c r="Y28" i="2" s="1"/>
  <c r="AS28" i="2" s="1"/>
  <c r="AA34" i="2"/>
  <c r="W34" i="2"/>
  <c r="Y34" i="2" s="1"/>
  <c r="AS34" i="2" s="1"/>
  <c r="U33" i="2"/>
  <c r="AA32" i="2"/>
  <c r="AC32" i="2" s="1"/>
  <c r="AE32" i="2" s="1"/>
  <c r="AT32" i="2" s="1"/>
  <c r="U30" i="2"/>
  <c r="V27" i="2"/>
  <c r="X27" i="2" s="1"/>
  <c r="Z27" i="2"/>
  <c r="AF27" i="2" s="1"/>
  <c r="AH27" i="2" s="1"/>
  <c r="AJ27" i="2" s="1"/>
  <c r="K11" i="3"/>
  <c r="J11" i="3"/>
  <c r="AA29" i="2" l="1"/>
  <c r="AC29" i="2" s="1"/>
  <c r="AE29" i="2" s="1"/>
  <c r="AT29" i="2" s="1"/>
  <c r="AG31" i="2"/>
  <c r="AI31" i="2" s="1"/>
  <c r="AK31" i="2" s="1"/>
  <c r="AU31" i="2" s="1"/>
  <c r="AA28" i="2"/>
  <c r="AC28" i="2" s="1"/>
  <c r="AE28" i="2" s="1"/>
  <c r="AT28" i="2" s="1"/>
  <c r="W30" i="2"/>
  <c r="Y30" i="2" s="1"/>
  <c r="AS30" i="2" s="1"/>
  <c r="AA30" i="2"/>
  <c r="AC30" i="2" s="1"/>
  <c r="AE30" i="2" s="1"/>
  <c r="AT30" i="2" s="1"/>
  <c r="AG32" i="2"/>
  <c r="AI32" i="2" s="1"/>
  <c r="AK32" i="2" s="1"/>
  <c r="AU32" i="2" s="1"/>
  <c r="AA33" i="2"/>
  <c r="W33" i="2"/>
  <c r="Y33" i="2" s="1"/>
  <c r="AS33" i="2" s="1"/>
  <c r="AC34" i="2"/>
  <c r="AE34" i="2" s="1"/>
  <c r="AT34" i="2" s="1"/>
  <c r="AG34" i="2"/>
  <c r="AI34" i="2" s="1"/>
  <c r="AK34" i="2" s="1"/>
  <c r="AU34" i="2" s="1"/>
  <c r="AB27" i="2"/>
  <c r="AD27" i="2" s="1"/>
  <c r="I11" i="3"/>
  <c r="H11" i="3"/>
  <c r="B7" i="3"/>
  <c r="B8" i="3" s="1"/>
  <c r="AG29" i="2" l="1"/>
  <c r="AG28" i="2"/>
  <c r="AI28" i="2" s="1"/>
  <c r="AK28" i="2" s="1"/>
  <c r="AU28" i="2" s="1"/>
  <c r="AM31" i="2"/>
  <c r="AO31" i="2" s="1"/>
  <c r="AQ31" i="2" s="1"/>
  <c r="AV31" i="2" s="1"/>
  <c r="AX31" i="2" s="1"/>
  <c r="BP31" i="2" s="1"/>
  <c r="AG30" i="2"/>
  <c r="AI30" i="2" s="1"/>
  <c r="AK30" i="2" s="1"/>
  <c r="AU30" i="2" s="1"/>
  <c r="AI29" i="2"/>
  <c r="AK29" i="2" s="1"/>
  <c r="AU29" i="2" s="1"/>
  <c r="AM29" i="2"/>
  <c r="AO29" i="2" s="1"/>
  <c r="AQ29" i="2" s="1"/>
  <c r="AV29" i="2" s="1"/>
  <c r="AM34" i="2"/>
  <c r="AO34" i="2" s="1"/>
  <c r="AQ34" i="2" s="1"/>
  <c r="AV34" i="2" s="1"/>
  <c r="AW34" i="2" s="1"/>
  <c r="BO34" i="2" s="1"/>
  <c r="AC33" i="2"/>
  <c r="AE33" i="2" s="1"/>
  <c r="AT33" i="2" s="1"/>
  <c r="AG33" i="2"/>
  <c r="AM32" i="2"/>
  <c r="AO32" i="2" s="1"/>
  <c r="AQ32" i="2" s="1"/>
  <c r="AV32" i="2" s="1"/>
  <c r="AX32" i="2" s="1"/>
  <c r="BP32" i="2" s="1"/>
  <c r="K17" i="3"/>
  <c r="J17" i="3"/>
  <c r="H17" i="3"/>
  <c r="H31" i="3"/>
  <c r="G30" i="3"/>
  <c r="H30" i="3" s="1"/>
  <c r="G29" i="3"/>
  <c r="H29" i="3" s="1"/>
  <c r="G28" i="3"/>
  <c r="H28" i="3" s="1"/>
  <c r="O27" i="2" s="1"/>
  <c r="B15" i="3"/>
  <c r="I17" i="3"/>
  <c r="AM28" i="2" l="1"/>
  <c r="AO28" i="2" s="1"/>
  <c r="AQ28" i="2" s="1"/>
  <c r="AV28" i="2" s="1"/>
  <c r="AX28" i="2" s="1"/>
  <c r="BP28" i="2" s="1"/>
  <c r="AX34" i="2"/>
  <c r="BP34" i="2" s="1"/>
  <c r="AW31" i="2"/>
  <c r="BO31" i="2" s="1"/>
  <c r="AW32" i="2"/>
  <c r="BO32" i="2" s="1"/>
  <c r="AM30" i="2"/>
  <c r="AO30" i="2" s="1"/>
  <c r="AQ30" i="2" s="1"/>
  <c r="AV30" i="2" s="1"/>
  <c r="AW30" i="2" s="1"/>
  <c r="BO30" i="2" s="1"/>
  <c r="AX29" i="2"/>
  <c r="BP29" i="2" s="1"/>
  <c r="AW29" i="2"/>
  <c r="BO29" i="2" s="1"/>
  <c r="AW28" i="2"/>
  <c r="BO28" i="2" s="1"/>
  <c r="AI33" i="2"/>
  <c r="AK33" i="2" s="1"/>
  <c r="AU33" i="2" s="1"/>
  <c r="AM33" i="2"/>
  <c r="AO33" i="2" s="1"/>
  <c r="AQ33" i="2" s="1"/>
  <c r="AV33" i="2" s="1"/>
  <c r="B12" i="3"/>
  <c r="C12" i="3" s="1"/>
  <c r="B14" i="3"/>
  <c r="C14" i="3" s="1"/>
  <c r="B11" i="3"/>
  <c r="C11" i="3" s="1"/>
  <c r="D11" i="3" s="1"/>
  <c r="D12" i="3" s="1"/>
  <c r="E12" i="3" s="1"/>
  <c r="F12" i="3" s="1"/>
  <c r="B13" i="3"/>
  <c r="C13" i="3" s="1"/>
  <c r="K18" i="3"/>
  <c r="K19" i="3" s="1"/>
  <c r="H18" i="3"/>
  <c r="H19" i="3" s="1"/>
  <c r="I18" i="3"/>
  <c r="I19" i="3" s="1"/>
  <c r="J18" i="3"/>
  <c r="J19" i="3" s="1"/>
  <c r="AX33" i="2" l="1"/>
  <c r="BP33" i="2" s="1"/>
  <c r="AW33" i="2"/>
  <c r="BO33" i="2" s="1"/>
  <c r="AX30" i="2"/>
  <c r="BP30" i="2" s="1"/>
  <c r="Q27" i="2"/>
  <c r="S27" i="2" s="1"/>
  <c r="AR27" i="2" s="1"/>
  <c r="U27" i="2"/>
  <c r="AL27" i="2"/>
  <c r="AN27" i="2" s="1"/>
  <c r="AP27" i="2" s="1"/>
  <c r="D8" i="3"/>
  <c r="E11" i="3"/>
  <c r="F11" i="3" s="1"/>
  <c r="G11" i="3" s="1"/>
  <c r="C17" i="3"/>
  <c r="D13" i="3"/>
  <c r="W27" i="2" l="1"/>
  <c r="Y27" i="2" s="1"/>
  <c r="AS27" i="2" s="1"/>
  <c r="AA27" i="2"/>
  <c r="G12" i="3"/>
  <c r="E13" i="3"/>
  <c r="F13" i="3" s="1"/>
  <c r="AC27" i="2" l="1"/>
  <c r="AE27" i="2" s="1"/>
  <c r="AT27" i="2" s="1"/>
  <c r="AG27" i="2"/>
  <c r="AI27" i="2" s="1"/>
  <c r="AK27" i="2" s="1"/>
  <c r="AU27" i="2" s="1"/>
  <c r="G13" i="3"/>
  <c r="D14" i="3"/>
  <c r="D15" i="3" s="1"/>
  <c r="AM27" i="2" l="1"/>
  <c r="AO27" i="2" s="1"/>
  <c r="AQ27" i="2" s="1"/>
  <c r="AV27" i="2" s="1"/>
  <c r="AW27" i="2" s="1"/>
  <c r="E14" i="3"/>
  <c r="AX27" i="2" l="1"/>
  <c r="BP27" i="2" s="1"/>
  <c r="F14" i="3"/>
  <c r="E15" i="3"/>
  <c r="F15" i="3" s="1"/>
  <c r="D17" i="3"/>
  <c r="BO25" i="2" l="1"/>
  <c r="BP25" i="2"/>
  <c r="G15" i="3"/>
  <c r="E17" i="3"/>
  <c r="G14" i="3"/>
  <c r="F17" i="3"/>
  <c r="G17" i="3" l="1"/>
  <c r="G18" i="3" s="1"/>
  <c r="G19" i="3" s="1"/>
  <c r="B21" i="3" s="1"/>
</calcChain>
</file>

<file path=xl/comments1.xml><?xml version="1.0" encoding="utf-8"?>
<comments xmlns="http://schemas.openxmlformats.org/spreadsheetml/2006/main">
  <authors>
    <author>Angela Cotrona</author>
    <author>Cotrona Angela</author>
  </authors>
  <commentList>
    <comment ref="B10" authorId="0" shapeId="0">
      <text>
        <r>
          <rPr>
            <b/>
            <sz val="9"/>
            <color indexed="81"/>
            <rFont val="Tahoma"/>
            <family val="2"/>
          </rPr>
          <t xml:space="preserve">Riportare l'importo Totale Fattura. Attenzione potrebbe non coincidere con il risultato della simulazione 
Vedi box [8] legenda fattura
</t>
        </r>
        <r>
          <rPr>
            <sz val="9"/>
            <color indexed="81"/>
            <rFont val="Tahoma"/>
            <family val="2"/>
          </rPr>
          <t xml:space="preserve">
</t>
        </r>
      </text>
    </comment>
    <comment ref="A12"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15" authorId="1" shapeId="0">
      <text>
        <r>
          <rPr>
            <b/>
            <sz val="9"/>
            <color indexed="81"/>
            <rFont val="Tahoma"/>
            <family val="2"/>
          </rPr>
          <t xml:space="preserve">
Inserisci le date del periodo fatturato. Vedi box [15] della legenda fattura
</t>
        </r>
        <r>
          <rPr>
            <sz val="9"/>
            <color indexed="81"/>
            <rFont val="Tahoma"/>
            <family val="2"/>
          </rPr>
          <t xml:space="preserve">
</t>
        </r>
      </text>
    </comment>
    <comment ref="A26" authorId="0" shapeId="0">
      <text>
        <r>
          <rPr>
            <b/>
            <sz val="9"/>
            <color indexed="81"/>
            <rFont val="Tahoma"/>
            <family val="2"/>
          </rPr>
          <t xml:space="preserve">compila in base alle unità abitative del tuo condominio 
</t>
        </r>
        <r>
          <rPr>
            <sz val="9"/>
            <color indexed="81"/>
            <rFont val="Tahoma"/>
            <family val="2"/>
          </rPr>
          <t xml:space="preserve">
</t>
        </r>
      </text>
    </comment>
    <comment ref="G26" authorId="0" shapeId="0">
      <text>
        <r>
          <rPr>
            <b/>
            <sz val="9"/>
            <color indexed="81"/>
            <rFont val="Tahoma"/>
            <family val="2"/>
          </rPr>
          <t xml:space="preserve">Tipo lettura: </t>
        </r>
        <r>
          <rPr>
            <sz val="9"/>
            <color indexed="81"/>
            <rFont val="Tahoma"/>
            <family val="2"/>
          </rPr>
          <t xml:space="preserve">
[</t>
        </r>
        <r>
          <rPr>
            <b/>
            <sz val="9"/>
            <color indexed="81"/>
            <rFont val="Tahoma"/>
            <family val="2"/>
          </rPr>
          <t>R</t>
        </r>
        <r>
          <rPr>
            <sz val="9"/>
            <color indexed="81"/>
            <rFont val="Tahoma"/>
            <family val="2"/>
          </rPr>
          <t>]eale o [</t>
        </r>
        <r>
          <rPr>
            <b/>
            <sz val="9"/>
            <color indexed="81"/>
            <rFont val="Tahoma"/>
            <family val="2"/>
          </rPr>
          <t>S</t>
        </r>
        <r>
          <rPr>
            <sz val="9"/>
            <color indexed="81"/>
            <rFont val="Tahoma"/>
            <family val="2"/>
          </rPr>
          <t>]timata</t>
        </r>
      </text>
    </comment>
  </commentList>
</comments>
</file>

<file path=xl/sharedStrings.xml><?xml version="1.0" encoding="utf-8"?>
<sst xmlns="http://schemas.openxmlformats.org/spreadsheetml/2006/main" count="275" uniqueCount="144">
  <si>
    <t>Unità3</t>
  </si>
  <si>
    <t>Unità4</t>
  </si>
  <si>
    <t>Unità5</t>
  </si>
  <si>
    <t>Unità6</t>
  </si>
  <si>
    <t>Unità7</t>
  </si>
  <si>
    <t>Unità8</t>
  </si>
  <si>
    <t>R</t>
  </si>
  <si>
    <t>Acquedotto Pugliese S.p.A. - Customer Management</t>
  </si>
  <si>
    <t>Simulatore PUGLIA</t>
  </si>
  <si>
    <t>CNF</t>
  </si>
  <si>
    <t>mc</t>
  </si>
  <si>
    <t>gg</t>
  </si>
  <si>
    <t>mc/comp</t>
  </si>
  <si>
    <t>mc/comp/g</t>
  </si>
  <si>
    <t>Acqua</t>
  </si>
  <si>
    <t>Fogna</t>
  </si>
  <si>
    <t>Depurazione</t>
  </si>
  <si>
    <t>Perequazione</t>
  </si>
  <si>
    <t>QF</t>
  </si>
  <si>
    <t>Tariffa</t>
  </si>
  <si>
    <t>mc x comp/anno</t>
  </si>
  <si>
    <t>mc x comp/g</t>
  </si>
  <si>
    <t>mc consumo x comp/g</t>
  </si>
  <si>
    <t>mc x comp/g x gg</t>
  </si>
  <si>
    <t>imp x comp</t>
  </si>
  <si>
    <t>imp x CNF</t>
  </si>
  <si>
    <t>imp mc</t>
  </si>
  <si>
    <t>imp periodo</t>
  </si>
  <si>
    <t>Agevolata</t>
  </si>
  <si>
    <t>Base</t>
  </si>
  <si>
    <t>I</t>
  </si>
  <si>
    <t>II</t>
  </si>
  <si>
    <t>III</t>
  </si>
  <si>
    <t>tot imponibile</t>
  </si>
  <si>
    <t>Iva</t>
  </si>
  <si>
    <t>tot importo</t>
  </si>
  <si>
    <t>tot consumo</t>
  </si>
  <si>
    <t>ACQUA</t>
  </si>
  <si>
    <t>Uso domestico</t>
  </si>
  <si>
    <t>Fasce di consumo annuale</t>
  </si>
  <si>
    <t>da mc</t>
  </si>
  <si>
    <t>a mc</t>
  </si>
  <si>
    <t>€/m3</t>
  </si>
  <si>
    <t>mc x CNF</t>
  </si>
  <si>
    <t>Tariffa agevolata</t>
  </si>
  <si>
    <t>da m3 0 a m3 76</t>
  </si>
  <si>
    <t>Tariffa base</t>
  </si>
  <si>
    <t>da m3 76 a m3 112</t>
  </si>
  <si>
    <t>I eccedenza</t>
  </si>
  <si>
    <t>da m3 112 a m3 148</t>
  </si>
  <si>
    <t>II eccedenza</t>
  </si>
  <si>
    <t>da m3 148 a m3 256</t>
  </si>
  <si>
    <t>III eccedenza</t>
  </si>
  <si>
    <t>oltre m3 256</t>
  </si>
  <si>
    <t>FOGNATURA QUOTA VARIABILE</t>
  </si>
  <si>
    <t>Acque reflue domestiche o assimilate</t>
  </si>
  <si>
    <t> €/m3</t>
  </si>
  <si>
    <t>DEPURAZIONE QUOTA VARIABILE</t>
  </si>
  <si>
    <t>Tariffa Perequazione</t>
  </si>
  <si>
    <t>Importo</t>
  </si>
  <si>
    <t>Unità</t>
  </si>
  <si>
    <t>UI1</t>
  </si>
  <si>
    <t>€/mc</t>
  </si>
  <si>
    <t>UI2</t>
  </si>
  <si>
    <t>UI3</t>
  </si>
  <si>
    <t>UI4</t>
  </si>
  <si>
    <t>Quota fissa DEPURAzione</t>
  </si>
  <si>
    <t>€/anno</t>
  </si>
  <si>
    <t>Quota fissa FOGNATURA</t>
  </si>
  <si>
    <t>Quota fissa ACQUA</t>
  </si>
  <si>
    <t>Importo Fogna con IVA</t>
  </si>
  <si>
    <t>Importo Quote Fisse con IVA</t>
  </si>
  <si>
    <t>Importo UI con IVA</t>
  </si>
  <si>
    <t>Importo Totale con IVA</t>
  </si>
  <si>
    <t>Importo Depurazione  con IVA</t>
  </si>
  <si>
    <t>Totale componenti familiari delle unità abitative</t>
  </si>
  <si>
    <t>Servizio Fognatura e depurazione? (SI/NO)</t>
  </si>
  <si>
    <t>Totale consumo in MC</t>
  </si>
  <si>
    <t>al</t>
  </si>
  <si>
    <t>dal</t>
  </si>
  <si>
    <t>Periodo fattura</t>
  </si>
  <si>
    <t>Compila le celle in azzurro con i dati presenti in fattura</t>
  </si>
  <si>
    <t>Totale 
Importo Acqua con  IVA</t>
  </si>
  <si>
    <t>giorni</t>
  </si>
  <si>
    <t>mc/comp AC</t>
  </si>
  <si>
    <t>mc/comp/g AC</t>
  </si>
  <si>
    <t>mc/comp AP</t>
  </si>
  <si>
    <t>1AP</t>
  </si>
  <si>
    <t>2AP</t>
  </si>
  <si>
    <t>3AP</t>
  </si>
  <si>
    <t>4AP</t>
  </si>
  <si>
    <t>5AP</t>
  </si>
  <si>
    <t>6AP</t>
  </si>
  <si>
    <t>7AP</t>
  </si>
  <si>
    <t>8AP</t>
  </si>
  <si>
    <t>9AP</t>
  </si>
  <si>
    <t>10AP</t>
  </si>
  <si>
    <t>11AP</t>
  </si>
  <si>
    <t>12AP</t>
  </si>
  <si>
    <t>13AP</t>
  </si>
  <si>
    <t>14AP</t>
  </si>
  <si>
    <t>15AP</t>
  </si>
  <si>
    <t>16AP</t>
  </si>
  <si>
    <t>17AP</t>
  </si>
  <si>
    <t>Totale Periodo fattura</t>
  </si>
  <si>
    <t>check quote fisse</t>
  </si>
  <si>
    <t>Importo UI con IVA AC</t>
  </si>
  <si>
    <t>Importo UI con IVA AP</t>
  </si>
  <si>
    <t>€/mc fino al 31/12/2021</t>
  </si>
  <si>
    <t>Unità1</t>
  </si>
  <si>
    <t>Unità2</t>
  </si>
  <si>
    <t>Tipo lettura 
[R]eale
[S]timata</t>
  </si>
  <si>
    <t>Importo UI no IVA AC</t>
  </si>
  <si>
    <t>Importo UI no IVA AP</t>
  </si>
  <si>
    <t>quota fissa 2022 + IVA</t>
  </si>
  <si>
    <t>quota fissa 2021 + IVA</t>
  </si>
  <si>
    <t>quota fissa 2022 no IVA</t>
  </si>
  <si>
    <t>quota fissa 2021 no IVA</t>
  </si>
  <si>
    <t>Totale Imponibile Acqua</t>
  </si>
  <si>
    <t>Imponibile a Tariffa Agevolata</t>
  </si>
  <si>
    <t>Imponibile a Tariffa Base</t>
  </si>
  <si>
    <t>Imponibile Fogna</t>
  </si>
  <si>
    <t>Imponibile Depurazione</t>
  </si>
  <si>
    <t xml:space="preserve">Imponibile Quote Fisse </t>
  </si>
  <si>
    <t xml:space="preserve">Imponibile Totale </t>
  </si>
  <si>
    <t>Compila le celle in azzurro in base al numero di moduli contrattuali/unità abitative del tuo condominio ed indica i relativi consumi</t>
  </si>
  <si>
    <t>Totale valore calcolato (*)</t>
  </si>
  <si>
    <t>Unità: riferimento unità abitativa
 (es. cognome e nome dell'interno)</t>
  </si>
  <si>
    <t>Num. Componenti nucleo familiare
(CNF)</t>
  </si>
  <si>
    <t>Imponibile in
 I Eccedenza</t>
  </si>
  <si>
    <t>Imponibile in
 II Eccedenza</t>
  </si>
  <si>
    <t>Imponibile in 
III Eccedenza</t>
  </si>
  <si>
    <t xml:space="preserve">AC (2022)
Consumo (mc) </t>
  </si>
  <si>
    <t xml:space="preserve"> AP (2021)
Consumo (mc)</t>
  </si>
  <si>
    <t>Periodo 2021
Anno Precedente [AP]</t>
  </si>
  <si>
    <t>Periodo 2022
Anno in Corso [AC]</t>
  </si>
  <si>
    <t>SI</t>
  </si>
  <si>
    <r>
      <t xml:space="preserve">Il </t>
    </r>
    <r>
      <rPr>
        <b/>
        <sz val="10"/>
        <color rgb="FF002060"/>
        <rFont val="Calibri"/>
        <family val="2"/>
        <scheme val="minor"/>
      </rPr>
      <t>valore calcolato (*)</t>
    </r>
    <r>
      <rPr>
        <sz val="10"/>
        <color rgb="FF002060"/>
        <rFont val="Calibri"/>
        <family val="2"/>
        <scheme val="minor"/>
      </rPr>
      <t xml:space="preserve">  è determinato in base alle unità abitative e ai relativi componenti e consumi riportati dell'utente nello strumento di calcolo.</t>
    </r>
  </si>
  <si>
    <t xml:space="preserve">Imponibile componenti tariffarie perequative UI  </t>
  </si>
  <si>
    <r>
      <t xml:space="preserve">Importo fattura </t>
    </r>
    <r>
      <rPr>
        <u/>
        <sz val="10"/>
        <color rgb="FF002060"/>
        <rFont val="Calibri"/>
        <family val="2"/>
        <scheme val="minor"/>
      </rPr>
      <t>(opzionale)</t>
    </r>
  </si>
  <si>
    <r>
      <t>Numero moduli contrattuali/unità abitative 
(</t>
    </r>
    <r>
      <rPr>
        <b/>
        <u/>
        <sz val="10"/>
        <color rgb="FF002060"/>
        <rFont val="Calibri"/>
        <family val="2"/>
        <scheme val="minor"/>
      </rPr>
      <t xml:space="preserve"> massimo 8 </t>
    </r>
    <r>
      <rPr>
        <b/>
        <sz val="10"/>
        <color rgb="FF002060"/>
        <rFont val="Calibri"/>
        <family val="2"/>
        <scheme val="minor"/>
      </rPr>
      <t>)</t>
    </r>
  </si>
  <si>
    <t>USO DOMESTICO RESIDENTE ABITANTI PUGLIA
Tariffe in vigore dal 01/01/2021 e dal 01/01/2022 disponibili su www.aqp.it/clienti/tariffe</t>
  </si>
  <si>
    <t>numero componenti 2021 nascosto</t>
  </si>
  <si>
    <r>
      <rPr>
        <b/>
        <sz val="11"/>
        <color rgb="FF002060"/>
        <rFont val="Calibri"/>
        <family val="2"/>
        <scheme val="minor"/>
      </rPr>
      <t>AQP</t>
    </r>
    <r>
      <rPr>
        <sz val="11"/>
        <color rgb="FF002060"/>
        <rFont val="Calibri"/>
        <family val="2"/>
        <scheme val="minor"/>
      </rPr>
      <t xml:space="preserve"> rende disponibile questo </t>
    </r>
    <r>
      <rPr>
        <b/>
        <sz val="11"/>
        <color rgb="FF002060"/>
        <rFont val="Calibri"/>
        <family val="2"/>
        <scheme val="minor"/>
      </rPr>
      <t>strumento di calcolo</t>
    </r>
    <r>
      <rPr>
        <sz val="11"/>
        <color rgb="FF002060"/>
        <rFont val="Calibri"/>
        <family val="2"/>
        <scheme val="minor"/>
      </rPr>
      <t xml:space="preserve"> di semplice utilizzo che consente di supportare l'attività di ripartizione degli importi fatturati tra ciascuna utenza indiretta secondo i criteri stabiliti nel TICSI, come previsto  dall'art. 21.1 dell'Allegato A alla Deliberazione ARERA n. 609/2021/R/IDR del 21 dicembre 2021 "Integrazione della disciplina in materia di misura del Servizio Idrico Integrato (TIMSII)".
Si precisa che questo strumento effettua il calcolo per ogni singola unità abitativa e quindi ne determina l’importo relativo.
</t>
    </r>
    <r>
      <rPr>
        <b/>
        <sz val="11"/>
        <color rgb="FF002060"/>
        <rFont val="Calibri"/>
        <family val="2"/>
        <scheme val="minor"/>
      </rPr>
      <t>Attenzione:</t>
    </r>
    <r>
      <rPr>
        <sz val="11"/>
        <color rgb="FF002060"/>
        <rFont val="Calibri"/>
        <family val="2"/>
        <scheme val="minor"/>
      </rPr>
      <t xml:space="preserve">  
• I periodi per cui effettuare il calcolo devono essere compresi tra due letture consecutive.
• Il </t>
    </r>
    <r>
      <rPr>
        <b/>
        <sz val="11"/>
        <color rgb="FF002060"/>
        <rFont val="Calibri"/>
        <family val="2"/>
        <scheme val="minor"/>
      </rPr>
      <t>valore calcolato (*)</t>
    </r>
    <r>
      <rPr>
        <sz val="11"/>
        <color rgb="FF002060"/>
        <rFont val="Calibri"/>
        <family val="2"/>
        <scheme val="minor"/>
      </rPr>
      <t xml:space="preserve"> potrebbe non corrispondere con il totale della fattura del condominio, sia per la presenza di altre voci (acconti precedenti e rettifiche e/o addebiti/accrediti diversi)  che concorrono alla determinazione dell'importo della stessa, ma anche, per una differente distribuzione delle fasce di consumo, che variano in relazione al numero dei componenti familiari di ciascuna unità abitativa rispetto al numero totale dei componenti familiari del condominio.
</t>
    </r>
    <r>
      <rPr>
        <b/>
        <sz val="11"/>
        <color rgb="FF002060"/>
        <rFont val="Calibri"/>
        <family val="2"/>
        <scheme val="minor"/>
      </rPr>
      <t xml:space="preserve">
</t>
    </r>
    <r>
      <rPr>
        <b/>
        <sz val="8"/>
        <color rgb="FF002060"/>
        <rFont val="Calibri"/>
        <family val="2"/>
        <scheme val="minor"/>
      </rPr>
      <t>Condizioni di utilizzo: AQP S.p.A. non risponde di utilizzi diversi da quelli previsti dalla Deliberazione ARERA 609/2021, è pertanto vietata la commercializzazione di questi strumenti di calcolo, il cui utilizzo deve essere conforme alle leggi vigenti e che tutelano la proprietà intellettuale. Nella misura massima consentita dalla legge, AQP S.p.A. non si assume alcuna responsabilità per errori o inesattezze nel calcolo o se i risultati dovessero essere difformi da quanto riportato da una eventuale fattura; il risultato rinvenuto dagli strumenti di calcolo, infatti, non riveste alcuna validità probatoria rimanendo la fattura sempre ed esclusivamente l’unico documento valido ai fini fiscali e degli addebiti dei consumi
Ver. Ottobre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</si>
</sst>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 _€_-;\-* #,##0\ _€_-;_-* &quot;-&quot;\ _€_-;_-@_-"/>
    <numFmt numFmtId="165" formatCode="_-* #,##0.00\ _€_-;\-* #,##0.00\ _€_-;_-* &quot;-&quot;??\ _€_-;_-@_-"/>
    <numFmt numFmtId="166" formatCode="#,##0_ ;\-#,##0\ "/>
  </numFmts>
  <fonts count="32"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b/>
      <sz val="11"/>
      <color theme="1"/>
      <name val="Calibri"/>
      <family val="2"/>
      <scheme val="minor"/>
    </font>
    <font>
      <sz val="11"/>
      <color theme="0"/>
      <name val="Calibri"/>
      <family val="2"/>
      <scheme val="minor"/>
    </font>
    <font>
      <sz val="11"/>
      <color theme="0" tint="-0.14999847407452621"/>
      <name val="Calibri"/>
      <family val="2"/>
      <scheme val="minor"/>
    </font>
    <font>
      <sz val="9"/>
      <color indexed="81"/>
      <name val="Tahoma"/>
      <family val="2"/>
    </font>
    <font>
      <b/>
      <sz val="9"/>
      <color indexed="81"/>
      <name val="Tahoma"/>
      <family val="2"/>
    </font>
    <font>
      <sz val="11"/>
      <name val="Calibri"/>
      <family val="2"/>
      <scheme val="minor"/>
    </font>
    <font>
      <b/>
      <sz val="11"/>
      <color rgb="FF002060"/>
      <name val="Calibri"/>
      <family val="2"/>
      <scheme val="minor"/>
    </font>
    <font>
      <sz val="8"/>
      <color rgb="FFFFFFFF"/>
      <name val="Arial"/>
      <family val="2"/>
    </font>
    <font>
      <sz val="8"/>
      <color rgb="FF333333"/>
      <name val="Arial"/>
      <family val="2"/>
    </font>
    <font>
      <sz val="7"/>
      <color theme="1"/>
      <name val="Verdana"/>
      <family val="2"/>
    </font>
    <font>
      <sz val="10"/>
      <color rgb="FFFF0000"/>
      <name val="Calibri"/>
      <family val="2"/>
      <scheme val="minor"/>
    </font>
    <font>
      <sz val="8"/>
      <color rgb="FFFF0000"/>
      <name val="Calibri"/>
      <family val="2"/>
      <scheme val="minor"/>
    </font>
    <font>
      <b/>
      <sz val="10"/>
      <color theme="1"/>
      <name val="Calibri"/>
      <family val="2"/>
      <scheme val="minor"/>
    </font>
    <font>
      <sz val="8"/>
      <color rgb="FFFF0000"/>
      <name val="Arial"/>
      <family val="2"/>
    </font>
    <font>
      <b/>
      <sz val="14"/>
      <color theme="4"/>
      <name val="Calibri"/>
      <family val="2"/>
      <scheme val="minor"/>
    </font>
    <font>
      <sz val="11"/>
      <color rgb="FF002060"/>
      <name val="Calibri"/>
      <family val="2"/>
      <scheme val="minor"/>
    </font>
    <font>
      <sz val="10"/>
      <color rgb="FF002060"/>
      <name val="Calibri"/>
      <family val="2"/>
      <scheme val="minor"/>
    </font>
    <font>
      <b/>
      <sz val="12"/>
      <color rgb="FF002060"/>
      <name val="Calibri"/>
      <family val="2"/>
      <scheme val="minor"/>
    </font>
    <font>
      <b/>
      <sz val="11"/>
      <color rgb="FFFF0000"/>
      <name val="Calibri"/>
      <family val="2"/>
      <scheme val="minor"/>
    </font>
    <font>
      <sz val="11"/>
      <color rgb="FFFF0000"/>
      <name val="Calibri"/>
      <family val="2"/>
      <scheme val="minor"/>
    </font>
    <font>
      <b/>
      <sz val="9"/>
      <color theme="8" tint="0.39997558519241921"/>
      <name val="Calibri"/>
      <family val="2"/>
      <scheme val="minor"/>
    </font>
    <font>
      <sz val="9"/>
      <color theme="1"/>
      <name val="Calibri"/>
      <family val="2"/>
      <scheme val="minor"/>
    </font>
    <font>
      <b/>
      <sz val="10"/>
      <color rgb="FF002060"/>
      <name val="Calibri"/>
      <family val="2"/>
      <scheme val="minor"/>
    </font>
    <font>
      <b/>
      <sz val="10"/>
      <color theme="3"/>
      <name val="Calibri"/>
      <family val="2"/>
      <scheme val="minor"/>
    </font>
    <font>
      <b/>
      <sz val="10"/>
      <color rgb="FFFF0000"/>
      <name val="Calibri"/>
      <family val="2"/>
      <scheme val="minor"/>
    </font>
    <font>
      <b/>
      <u/>
      <sz val="10"/>
      <color rgb="FF002060"/>
      <name val="Calibri"/>
      <family val="2"/>
      <scheme val="minor"/>
    </font>
    <font>
      <b/>
      <sz val="8"/>
      <color rgb="FF002060"/>
      <name val="Calibri"/>
      <family val="2"/>
      <scheme val="minor"/>
    </font>
    <font>
      <u/>
      <sz val="10"/>
      <color rgb="FF002060"/>
      <name val="Calibri"/>
      <family val="2"/>
      <scheme val="minor"/>
    </font>
  </fonts>
  <fills count="1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20A082"/>
        <bgColor indexed="64"/>
      </patternFill>
    </fill>
    <fill>
      <patternFill patternType="solid">
        <fgColor rgb="FFE6E6E6"/>
        <bgColor indexed="64"/>
      </patternFill>
    </fill>
    <fill>
      <patternFill patternType="solid">
        <fgColor rgb="FFFFC0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4"/>
        <bgColor indexed="64"/>
      </patternFill>
    </fill>
    <fill>
      <patternFill patternType="solid">
        <fgColor rgb="FFFEFCBC"/>
        <bgColor indexed="64"/>
      </patternFill>
    </fill>
    <fill>
      <patternFill patternType="solid">
        <fgColor theme="5"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ck">
        <color theme="4" tint="0.39994506668294322"/>
      </left>
      <right/>
      <top style="thick">
        <color theme="4" tint="0.39994506668294322"/>
      </top>
      <bottom/>
      <diagonal/>
    </border>
    <border>
      <left/>
      <right/>
      <top style="thick">
        <color theme="4" tint="0.39994506668294322"/>
      </top>
      <bottom/>
      <diagonal/>
    </border>
    <border>
      <left/>
      <right style="thick">
        <color theme="4" tint="0.39994506668294322"/>
      </right>
      <top style="thick">
        <color theme="4" tint="0.39994506668294322"/>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top/>
      <bottom style="thick">
        <color theme="4" tint="0.39994506668294322"/>
      </bottom>
      <diagonal/>
    </border>
    <border>
      <left/>
      <right/>
      <top/>
      <bottom style="thick">
        <color theme="4" tint="0.39994506668294322"/>
      </bottom>
      <diagonal/>
    </border>
    <border>
      <left/>
      <right style="thick">
        <color theme="4" tint="0.39994506668294322"/>
      </right>
      <top/>
      <bottom style="thick">
        <color theme="4" tint="0.39994506668294322"/>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2060"/>
      </left>
      <right style="thin">
        <color rgb="FF002060"/>
      </right>
      <top style="thin">
        <color rgb="FF002060"/>
      </top>
      <bottom style="thin">
        <color rgb="FF002060"/>
      </bottom>
      <diagonal/>
    </border>
    <border>
      <left style="thin">
        <color indexed="64"/>
      </left>
      <right style="thin">
        <color indexed="64"/>
      </right>
      <top/>
      <bottom style="thin">
        <color indexed="64"/>
      </bottom>
      <diagonal/>
    </border>
    <border>
      <left style="thin">
        <color rgb="FF002060"/>
      </left>
      <right/>
      <top style="thin">
        <color rgb="FF002060"/>
      </top>
      <bottom style="thin">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style="thin">
        <color rgb="FF002060"/>
      </right>
      <top style="thin">
        <color rgb="FF002060"/>
      </top>
      <bottom style="medium">
        <color rgb="FF002060"/>
      </bottom>
      <diagonal/>
    </border>
    <border>
      <left style="thin">
        <color rgb="FF002060"/>
      </left>
      <right style="medium">
        <color rgb="FF002060"/>
      </right>
      <top style="thin">
        <color rgb="FF002060"/>
      </top>
      <bottom style="medium">
        <color rgb="FF002060"/>
      </bottom>
      <diagonal/>
    </border>
    <border>
      <left style="medium">
        <color rgb="FF002060"/>
      </left>
      <right style="medium">
        <color rgb="FF002060"/>
      </right>
      <top style="medium">
        <color rgb="FF002060"/>
      </top>
      <bottom style="thin">
        <color indexed="64"/>
      </bottom>
      <diagonal/>
    </border>
    <border>
      <left style="medium">
        <color theme="8" tint="0.39991454817346722"/>
      </left>
      <right/>
      <top style="medium">
        <color theme="8" tint="0.39991454817346722"/>
      </top>
      <bottom/>
      <diagonal/>
    </border>
    <border>
      <left/>
      <right/>
      <top style="medium">
        <color theme="8" tint="0.39991454817346722"/>
      </top>
      <bottom/>
      <diagonal/>
    </border>
    <border>
      <left/>
      <right style="medium">
        <color theme="8" tint="0.39991454817346722"/>
      </right>
      <top style="medium">
        <color theme="8" tint="0.39991454817346722"/>
      </top>
      <bottom/>
      <diagonal/>
    </border>
    <border>
      <left style="medium">
        <color theme="8" tint="0.39991454817346722"/>
      </left>
      <right/>
      <top/>
      <bottom/>
      <diagonal/>
    </border>
    <border>
      <left/>
      <right style="medium">
        <color theme="8" tint="0.39991454817346722"/>
      </right>
      <top/>
      <bottom/>
      <diagonal/>
    </border>
    <border>
      <left style="medium">
        <color theme="8" tint="0.39991454817346722"/>
      </left>
      <right/>
      <top/>
      <bottom style="medium">
        <color theme="8" tint="0.39991454817346722"/>
      </bottom>
      <diagonal/>
    </border>
    <border>
      <left/>
      <right/>
      <top/>
      <bottom style="medium">
        <color theme="8" tint="0.39991454817346722"/>
      </bottom>
      <diagonal/>
    </border>
    <border>
      <left/>
      <right style="medium">
        <color theme="8" tint="0.39991454817346722"/>
      </right>
      <top/>
      <bottom style="medium">
        <color theme="8" tint="0.39991454817346722"/>
      </bottom>
      <diagonal/>
    </border>
    <border>
      <left/>
      <right/>
      <top style="medium">
        <color rgb="FF002060"/>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s>
  <cellStyleXfs count="2">
    <xf numFmtId="0" fontId="0" fillId="0" borderId="0"/>
    <xf numFmtId="44" fontId="1" fillId="0" borderId="0" applyFont="0" applyFill="0" applyBorder="0" applyAlignment="0" applyProtection="0"/>
  </cellStyleXfs>
  <cellXfs count="168">
    <xf numFmtId="0" fontId="0" fillId="0" borderId="0" xfId="0"/>
    <xf numFmtId="0" fontId="3" fillId="0" borderId="1" xfId="0" applyFont="1" applyBorder="1"/>
    <xf numFmtId="0" fontId="2" fillId="0" borderId="0" xfId="0" applyFont="1"/>
    <xf numFmtId="0" fontId="2" fillId="0" borderId="0" xfId="0" applyFont="1" applyAlignment="1">
      <alignment horizontal="center"/>
    </xf>
    <xf numFmtId="0" fontId="3" fillId="4" borderId="1" xfId="0" applyFont="1" applyFill="1" applyBorder="1"/>
    <xf numFmtId="0" fontId="3" fillId="0" borderId="0" xfId="0" applyFont="1"/>
    <xf numFmtId="0" fontId="3" fillId="0" borderId="1" xfId="0" applyFont="1" applyBorder="1" applyAlignment="1">
      <alignment horizontal="center"/>
    </xf>
    <xf numFmtId="44" fontId="3" fillId="0" borderId="1" xfId="1" applyFont="1" applyBorder="1"/>
    <xf numFmtId="0" fontId="2" fillId="0" borderId="1" xfId="0" applyFont="1" applyBorder="1"/>
    <xf numFmtId="0" fontId="3" fillId="0" borderId="5" xfId="0" applyFont="1" applyBorder="1"/>
    <xf numFmtId="44" fontId="3" fillId="0" borderId="5" xfId="0" applyNumberFormat="1" applyFont="1" applyBorder="1"/>
    <xf numFmtId="44" fontId="3" fillId="5" borderId="5" xfId="0" applyNumberFormat="1" applyFont="1" applyFill="1" applyBorder="1"/>
    <xf numFmtId="9" fontId="2" fillId="0" borderId="1" xfId="0" applyNumberFormat="1" applyFont="1" applyBorder="1"/>
    <xf numFmtId="44" fontId="2" fillId="0" borderId="1" xfId="0" applyNumberFormat="1" applyFont="1" applyBorder="1"/>
    <xf numFmtId="44" fontId="3" fillId="5" borderId="1" xfId="0" applyNumberFormat="1" applyFont="1" applyFill="1" applyBorder="1"/>
    <xf numFmtId="0" fontId="11" fillId="6" borderId="0" xfId="0" applyFont="1" applyFill="1" applyAlignment="1">
      <alignment vertical="top" wrapText="1"/>
    </xf>
    <xf numFmtId="0" fontId="11" fillId="6" borderId="0" xfId="0" applyFont="1" applyFill="1" applyAlignment="1">
      <alignment horizontal="center" vertical="top" wrapText="1"/>
    </xf>
    <xf numFmtId="0" fontId="12" fillId="7" borderId="0" xfId="0" applyFont="1" applyFill="1" applyAlignment="1">
      <alignment vertical="top" wrapText="1"/>
    </xf>
    <xf numFmtId="0" fontId="12" fillId="7" borderId="0" xfId="0" applyFont="1" applyFill="1" applyAlignment="1">
      <alignment horizontal="left" vertical="top" wrapText="1"/>
    </xf>
    <xf numFmtId="0" fontId="12" fillId="7" borderId="0" xfId="0" applyFont="1" applyFill="1" applyAlignment="1">
      <alignment horizontal="center" vertical="top" wrapText="1"/>
    </xf>
    <xf numFmtId="0" fontId="13" fillId="0" borderId="0" xfId="0" applyFont="1"/>
    <xf numFmtId="44" fontId="3" fillId="8" borderId="1" xfId="1" applyFont="1" applyFill="1" applyBorder="1"/>
    <xf numFmtId="0" fontId="14" fillId="0" borderId="1" xfId="0" applyFont="1" applyBorder="1" applyAlignment="1">
      <alignment horizontal="center"/>
    </xf>
    <xf numFmtId="0" fontId="14" fillId="0" borderId="2" xfId="0" applyFont="1" applyBorder="1"/>
    <xf numFmtId="0" fontId="14" fillId="0" borderId="1" xfId="0" applyFont="1" applyBorder="1"/>
    <xf numFmtId="0" fontId="15" fillId="0" borderId="1" xfId="0" applyFont="1" applyBorder="1"/>
    <xf numFmtId="44" fontId="16" fillId="0" borderId="1" xfId="1" applyFont="1" applyBorder="1"/>
    <xf numFmtId="0" fontId="17" fillId="7" borderId="0" xfId="0" applyFont="1" applyFill="1" applyAlignment="1">
      <alignment horizontal="left" vertical="top" wrapText="1"/>
    </xf>
    <xf numFmtId="0" fontId="3" fillId="12" borderId="1" xfId="0" applyFont="1" applyFill="1" applyBorder="1"/>
    <xf numFmtId="0" fontId="3" fillId="0" borderId="1" xfId="0" applyFont="1" applyFill="1" applyBorder="1"/>
    <xf numFmtId="0" fontId="3" fillId="13" borderId="1" xfId="0" applyFont="1" applyFill="1" applyBorder="1"/>
    <xf numFmtId="0" fontId="12" fillId="13" borderId="0" xfId="0" applyFont="1" applyFill="1" applyAlignment="1">
      <alignment horizontal="center" vertical="top" wrapText="1"/>
    </xf>
    <xf numFmtId="0" fontId="0" fillId="0" borderId="0" xfId="0" applyProtection="1"/>
    <xf numFmtId="0" fontId="0" fillId="0" borderId="0" xfId="0" applyFill="1" applyProtection="1"/>
    <xf numFmtId="0" fontId="5" fillId="0" borderId="0" xfId="0" applyFont="1" applyFill="1" applyProtection="1"/>
    <xf numFmtId="0" fontId="5" fillId="0" borderId="0" xfId="0" applyFont="1" applyProtection="1"/>
    <xf numFmtId="0" fontId="6" fillId="0" borderId="0" xfId="0" applyFont="1" applyProtection="1"/>
    <xf numFmtId="0" fontId="9" fillId="0" borderId="0" xfId="0" applyFont="1" applyProtection="1"/>
    <xf numFmtId="0" fontId="10" fillId="0" borderId="0" xfId="0" applyFont="1" applyProtection="1"/>
    <xf numFmtId="0" fontId="18" fillId="0" borderId="0" xfId="0" applyFont="1" applyBorder="1" applyProtection="1"/>
    <xf numFmtId="44" fontId="0" fillId="0" borderId="0" xfId="0" applyNumberFormat="1" applyBorder="1" applyProtection="1"/>
    <xf numFmtId="44" fontId="0" fillId="0" borderId="0" xfId="0" applyNumberFormat="1" applyFill="1" applyBorder="1" applyProtection="1"/>
    <xf numFmtId="0" fontId="0" fillId="0" borderId="0" xfId="0" applyBorder="1" applyProtection="1"/>
    <xf numFmtId="0" fontId="0" fillId="0" borderId="0" xfId="0" applyFill="1" applyBorder="1" applyProtection="1"/>
    <xf numFmtId="0" fontId="4" fillId="0" borderId="0" xfId="0" applyFont="1" applyBorder="1" applyProtection="1"/>
    <xf numFmtId="0" fontId="10" fillId="2" borderId="1" xfId="0" applyFont="1" applyFill="1" applyBorder="1" applyAlignment="1" applyProtection="1">
      <alignment horizontal="center" vertical="center" wrapText="1"/>
    </xf>
    <xf numFmtId="0" fontId="10" fillId="11" borderId="1"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0" fillId="9" borderId="1" xfId="0" applyFont="1" applyFill="1" applyBorder="1" applyAlignment="1" applyProtection="1">
      <alignment horizontal="center" vertical="center" wrapText="1"/>
    </xf>
    <xf numFmtId="0" fontId="10" fillId="14" borderId="1" xfId="0" applyFont="1" applyFill="1" applyBorder="1" applyAlignment="1" applyProtection="1">
      <alignment horizontal="center" vertical="center" wrapText="1"/>
    </xf>
    <xf numFmtId="0" fontId="10" fillId="10" borderId="1" xfId="0" applyFont="1" applyFill="1" applyBorder="1" applyAlignment="1" applyProtection="1">
      <alignment horizontal="center" vertical="center" wrapText="1"/>
    </xf>
    <xf numFmtId="44" fontId="19" fillId="0" borderId="1" xfId="0" applyNumberFormat="1" applyFont="1" applyBorder="1" applyProtection="1"/>
    <xf numFmtId="44" fontId="19" fillId="0" borderId="1" xfId="1" applyFont="1" applyBorder="1" applyProtection="1"/>
    <xf numFmtId="166" fontId="19" fillId="2" borderId="1" xfId="0" applyNumberFormat="1" applyFont="1" applyFill="1" applyBorder="1" applyProtection="1">
      <protection locked="0"/>
    </xf>
    <xf numFmtId="0" fontId="0" fillId="0" borderId="0" xfId="0" applyBorder="1" applyAlignment="1" applyProtection="1">
      <alignment horizontal="center" vertical="center" wrapText="1"/>
    </xf>
    <xf numFmtId="0" fontId="0" fillId="0" borderId="0" xfId="0" applyAlignment="1" applyProtection="1">
      <alignment horizontal="center" vertical="center" wrapText="1"/>
    </xf>
    <xf numFmtId="0" fontId="2" fillId="0" borderId="0" xfId="0" applyFont="1" applyProtection="1"/>
    <xf numFmtId="0" fontId="2" fillId="0" borderId="0" xfId="0" applyFont="1" applyFill="1" applyProtection="1"/>
    <xf numFmtId="0" fontId="10" fillId="0" borderId="0" xfId="0" applyFont="1" applyBorder="1" applyAlignment="1" applyProtection="1"/>
    <xf numFmtId="0" fontId="19" fillId="2" borderId="1" xfId="0" applyFont="1" applyFill="1" applyBorder="1" applyAlignment="1" applyProtection="1">
      <alignment horizontal="center"/>
      <protection locked="0"/>
    </xf>
    <xf numFmtId="0" fontId="10" fillId="3" borderId="1" xfId="0" applyFont="1" applyFill="1" applyBorder="1" applyAlignment="1" applyProtection="1">
      <alignment horizontal="center" vertical="center" wrapText="1"/>
    </xf>
    <xf numFmtId="0" fontId="6" fillId="0" borderId="0" xfId="0" applyFont="1" applyBorder="1" applyAlignment="1" applyProtection="1">
      <alignment horizontal="center"/>
    </xf>
    <xf numFmtId="0" fontId="6" fillId="0" borderId="0" xfId="0" applyFont="1" applyAlignment="1" applyProtection="1">
      <alignment horizontal="center"/>
    </xf>
    <xf numFmtId="0" fontId="6" fillId="0" borderId="0" xfId="0" applyFont="1" applyFill="1" applyBorder="1" applyAlignment="1" applyProtection="1">
      <alignment horizontal="center"/>
    </xf>
    <xf numFmtId="0" fontId="6" fillId="0" borderId="0" xfId="0" applyFont="1" applyFill="1" applyBorder="1" applyProtection="1"/>
    <xf numFmtId="0" fontId="10" fillId="16" borderId="1" xfId="0" applyFont="1" applyFill="1" applyBorder="1" applyAlignment="1" applyProtection="1">
      <alignment horizontal="center" vertical="center" wrapText="1"/>
    </xf>
    <xf numFmtId="0" fontId="10" fillId="15" borderId="1" xfId="0" applyFont="1" applyFill="1" applyBorder="1" applyAlignment="1" applyProtection="1">
      <alignment horizontal="center" vertical="center" wrapText="1"/>
    </xf>
    <xf numFmtId="0" fontId="22" fillId="0" borderId="0" xfId="0" applyFont="1" applyBorder="1" applyProtection="1"/>
    <xf numFmtId="0" fontId="12" fillId="7" borderId="1" xfId="0" applyFont="1" applyFill="1" applyBorder="1" applyAlignment="1">
      <alignment horizontal="center" vertical="top" wrapText="1"/>
    </xf>
    <xf numFmtId="0" fontId="0" fillId="2" borderId="0" xfId="0" applyFill="1" applyProtection="1"/>
    <xf numFmtId="0" fontId="23" fillId="0" borderId="0" xfId="0" applyFont="1" applyBorder="1" applyAlignment="1" applyProtection="1">
      <alignment horizontal="center"/>
    </xf>
    <xf numFmtId="0" fontId="23" fillId="0" borderId="0" xfId="0" applyFont="1" applyAlignment="1" applyProtection="1">
      <alignment horizontal="center"/>
    </xf>
    <xf numFmtId="0" fontId="23" fillId="0" borderId="0" xfId="0" applyFont="1" applyProtection="1"/>
    <xf numFmtId="37" fontId="19" fillId="0" borderId="1" xfId="0" applyNumberFormat="1" applyFont="1" applyFill="1" applyBorder="1" applyProtection="1"/>
    <xf numFmtId="165" fontId="19" fillId="0" borderId="1" xfId="0" applyNumberFormat="1" applyFont="1" applyFill="1" applyBorder="1" applyProtection="1"/>
    <xf numFmtId="165" fontId="10" fillId="0" borderId="1" xfId="0" applyNumberFormat="1" applyFont="1" applyFill="1" applyBorder="1" applyProtection="1"/>
    <xf numFmtId="0" fontId="19" fillId="2" borderId="4" xfId="0" applyFont="1" applyFill="1" applyBorder="1" applyProtection="1">
      <protection locked="0"/>
    </xf>
    <xf numFmtId="0" fontId="22" fillId="0" borderId="0" xfId="0" applyFont="1" applyFill="1" applyBorder="1" applyProtection="1"/>
    <xf numFmtId="166" fontId="23" fillId="0" borderId="0" xfId="0" applyNumberFormat="1" applyFont="1" applyProtection="1"/>
    <xf numFmtId="0" fontId="23" fillId="0" borderId="0" xfId="0" applyFont="1" applyBorder="1" applyProtection="1"/>
    <xf numFmtId="0" fontId="10"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44" fontId="19" fillId="0" borderId="1" xfId="1" quotePrefix="1" applyFont="1" applyBorder="1" applyProtection="1"/>
    <xf numFmtId="44" fontId="0" fillId="0" borderId="0" xfId="0" applyNumberFormat="1" applyProtection="1"/>
    <xf numFmtId="0" fontId="10" fillId="0" borderId="2" xfId="0" applyFont="1" applyBorder="1" applyAlignment="1" applyProtection="1">
      <alignment horizontal="center" vertical="center" wrapText="1"/>
    </xf>
    <xf numFmtId="0" fontId="10" fillId="0" borderId="0" xfId="0" applyFont="1" applyBorder="1" applyProtection="1"/>
    <xf numFmtId="44" fontId="19" fillId="0" borderId="18" xfId="1" applyFont="1" applyBorder="1" applyProtection="1"/>
    <xf numFmtId="44" fontId="19" fillId="0" borderId="18" xfId="1" quotePrefix="1" applyFont="1" applyBorder="1" applyProtection="1"/>
    <xf numFmtId="44" fontId="10" fillId="0" borderId="18" xfId="1" applyFont="1" applyBorder="1" applyProtection="1"/>
    <xf numFmtId="0" fontId="10" fillId="0" borderId="17" xfId="0" applyFont="1" applyBorder="1" applyAlignment="1" applyProtection="1">
      <alignment horizontal="center" vertical="center" wrapText="1"/>
    </xf>
    <xf numFmtId="0" fontId="10" fillId="4" borderId="17" xfId="0" applyFont="1" applyFill="1" applyBorder="1" applyAlignment="1" applyProtection="1">
      <alignment horizontal="center" vertical="center" wrapText="1"/>
    </xf>
    <xf numFmtId="0" fontId="10" fillId="0" borderId="19"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5" xfId="0" applyFont="1" applyBorder="1" applyAlignment="1" applyProtection="1">
      <alignment horizontal="center" vertical="center" wrapText="1"/>
    </xf>
    <xf numFmtId="0" fontId="24" fillId="0" borderId="0" xfId="0" applyFont="1" applyBorder="1" applyAlignment="1" applyProtection="1">
      <alignment horizontal="left"/>
    </xf>
    <xf numFmtId="0" fontId="25" fillId="0" borderId="0" xfId="0" applyFont="1" applyBorder="1" applyProtection="1"/>
    <xf numFmtId="0" fontId="25" fillId="0" borderId="0" xfId="0" applyFont="1" applyProtection="1"/>
    <xf numFmtId="0" fontId="26" fillId="0" borderId="2" xfId="0" applyFont="1" applyBorder="1" applyAlignment="1" applyProtection="1"/>
    <xf numFmtId="44" fontId="26" fillId="2" borderId="1" xfId="0" applyNumberFormat="1" applyFont="1" applyFill="1" applyBorder="1" applyProtection="1">
      <protection locked="0"/>
    </xf>
    <xf numFmtId="0" fontId="3" fillId="0" borderId="0" xfId="0" applyFont="1" applyProtection="1"/>
    <xf numFmtId="0" fontId="26" fillId="0" borderId="0" xfId="0" applyFont="1" applyBorder="1" applyAlignment="1" applyProtection="1"/>
    <xf numFmtId="0" fontId="26" fillId="0" borderId="15" xfId="0" applyFont="1" applyBorder="1" applyAlignment="1" applyProtection="1"/>
    <xf numFmtId="0" fontId="26" fillId="0" borderId="14" xfId="0" applyFont="1" applyBorder="1" applyAlignment="1" applyProtection="1">
      <alignment horizontal="center"/>
    </xf>
    <xf numFmtId="44" fontId="26" fillId="0" borderId="16" xfId="0" applyNumberFormat="1"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0" xfId="0" applyFont="1" applyFill="1" applyBorder="1" applyAlignment="1" applyProtection="1">
      <alignment horizontal="center"/>
    </xf>
    <xf numFmtId="164" fontId="26" fillId="0" borderId="0" xfId="0" applyNumberFormat="1" applyFont="1" applyFill="1" applyBorder="1" applyProtection="1"/>
    <xf numFmtId="0" fontId="3" fillId="0" borderId="3" xfId="0" applyFont="1" applyFill="1" applyBorder="1" applyProtection="1"/>
    <xf numFmtId="0" fontId="3" fillId="0" borderId="4" xfId="0" applyFont="1" applyFill="1" applyBorder="1" applyProtection="1"/>
    <xf numFmtId="164" fontId="27" fillId="0" borderId="1" xfId="0" applyNumberFormat="1" applyFont="1" applyFill="1" applyBorder="1" applyProtection="1"/>
    <xf numFmtId="164" fontId="27" fillId="0" borderId="0" xfId="0" applyNumberFormat="1" applyFont="1" applyFill="1" applyBorder="1" applyProtection="1"/>
    <xf numFmtId="0" fontId="3" fillId="0" borderId="0" xfId="0" applyFont="1" applyFill="1" applyBorder="1" applyProtection="1"/>
    <xf numFmtId="0" fontId="26" fillId="0" borderId="2" xfId="0" applyFont="1" applyBorder="1" applyProtection="1"/>
    <xf numFmtId="0" fontId="20" fillId="0" borderId="4" xfId="0" applyFont="1" applyBorder="1" applyProtection="1"/>
    <xf numFmtId="0" fontId="26" fillId="2" borderId="4" xfId="0" applyFont="1" applyFill="1" applyBorder="1" applyAlignment="1" applyProtection="1">
      <alignment horizontal="right"/>
      <protection locked="0"/>
    </xf>
    <xf numFmtId="0" fontId="26" fillId="0" borderId="3" xfId="0" applyFont="1" applyBorder="1" applyProtection="1"/>
    <xf numFmtId="164" fontId="26" fillId="0" borderId="1" xfId="0" applyNumberFormat="1" applyFont="1" applyFill="1" applyBorder="1" applyAlignment="1" applyProtection="1">
      <alignment horizontal="center" vertical="center"/>
    </xf>
    <xf numFmtId="0" fontId="3" fillId="0" borderId="0" xfId="0" applyFont="1" applyBorder="1" applyProtection="1"/>
    <xf numFmtId="164" fontId="20" fillId="0" borderId="0" xfId="0" applyNumberFormat="1" applyFont="1" applyFill="1" applyBorder="1" applyProtection="1"/>
    <xf numFmtId="166" fontId="26" fillId="2" borderId="1" xfId="0" applyNumberFormat="1" applyFont="1" applyFill="1" applyBorder="1" applyProtection="1">
      <protection locked="0"/>
    </xf>
    <xf numFmtId="0" fontId="28" fillId="0" borderId="0" xfId="0" applyFont="1" applyFill="1" applyBorder="1" applyProtection="1"/>
    <xf numFmtId="166" fontId="14" fillId="0" borderId="0" xfId="0" applyNumberFormat="1" applyFont="1" applyProtection="1"/>
    <xf numFmtId="166" fontId="10" fillId="0" borderId="26" xfId="0" applyNumberFormat="1" applyFont="1" applyFill="1" applyBorder="1" applyProtection="1"/>
    <xf numFmtId="166" fontId="10" fillId="0" borderId="0" xfId="0" applyNumberFormat="1" applyFont="1" applyFill="1" applyBorder="1" applyProtection="1"/>
    <xf numFmtId="0" fontId="0" fillId="0" borderId="0" xfId="0" applyFont="1" applyProtection="1"/>
    <xf numFmtId="0" fontId="0" fillId="0" borderId="0" xfId="0" applyFont="1" applyBorder="1" applyProtection="1"/>
    <xf numFmtId="44" fontId="10" fillId="0" borderId="22" xfId="0" applyNumberFormat="1" applyFont="1" applyBorder="1" applyProtection="1"/>
    <xf numFmtId="44" fontId="10" fillId="0" borderId="23" xfId="0" applyNumberFormat="1" applyFont="1" applyBorder="1" applyProtection="1"/>
    <xf numFmtId="2" fontId="19" fillId="0" borderId="1" xfId="0" applyNumberFormat="1" applyFont="1" applyBorder="1" applyProtection="1"/>
    <xf numFmtId="0" fontId="26" fillId="16" borderId="17" xfId="0" applyFont="1" applyFill="1" applyBorder="1" applyAlignment="1" applyProtection="1">
      <alignment horizontal="center" wrapText="1"/>
    </xf>
    <xf numFmtId="0" fontId="26" fillId="15" borderId="17" xfId="0" applyFont="1" applyFill="1" applyBorder="1" applyAlignment="1" applyProtection="1">
      <alignment horizontal="center" wrapText="1"/>
    </xf>
    <xf numFmtId="14" fontId="20" fillId="2" borderId="4" xfId="0" applyNumberFormat="1" applyFont="1" applyFill="1" applyBorder="1" applyAlignment="1" applyProtection="1">
      <alignment horizontal="center" vertical="center"/>
      <protection locked="0"/>
    </xf>
    <xf numFmtId="14" fontId="20" fillId="2" borderId="1" xfId="0" applyNumberFormat="1" applyFont="1" applyFill="1" applyBorder="1" applyAlignment="1" applyProtection="1">
      <alignment horizontal="center" vertical="center"/>
      <protection locked="0"/>
    </xf>
    <xf numFmtId="0" fontId="0" fillId="0" borderId="0" xfId="0" applyBorder="1" applyAlignment="1" applyProtection="1">
      <alignment wrapText="1"/>
    </xf>
    <xf numFmtId="164" fontId="26" fillId="0" borderId="0" xfId="0" applyNumberFormat="1" applyFont="1" applyFill="1" applyBorder="1" applyAlignment="1" applyProtection="1">
      <alignment horizontal="center" vertical="center"/>
    </xf>
    <xf numFmtId="0" fontId="3"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26" xfId="0" applyFont="1" applyBorder="1" applyAlignment="1" applyProtection="1">
      <alignment horizontal="center"/>
    </xf>
    <xf numFmtId="0" fontId="0" fillId="0" borderId="26" xfId="0" applyFont="1" applyBorder="1" applyAlignment="1" applyProtection="1"/>
    <xf numFmtId="0" fontId="10" fillId="0" borderId="6" xfId="0" applyFont="1" applyBorder="1" applyAlignment="1" applyProtection="1">
      <alignment horizontal="center" vertical="center" wrapText="1"/>
    </xf>
    <xf numFmtId="0" fontId="10" fillId="0" borderId="7" xfId="0" applyFont="1" applyBorder="1" applyAlignment="1" applyProtection="1">
      <alignment horizontal="center" vertical="center"/>
    </xf>
    <xf numFmtId="0" fontId="10" fillId="0" borderId="8" xfId="0" applyFont="1" applyBorder="1" applyAlignment="1" applyProtection="1">
      <alignment horizontal="center" vertical="center"/>
    </xf>
    <xf numFmtId="0" fontId="10" fillId="0" borderId="9" xfId="0" applyFont="1" applyBorder="1" applyAlignment="1" applyProtection="1">
      <alignment horizontal="center" vertical="center"/>
    </xf>
    <xf numFmtId="0" fontId="10" fillId="0" borderId="0" xfId="0" applyFont="1" applyAlignment="1" applyProtection="1">
      <alignment horizontal="center" vertical="center"/>
    </xf>
    <xf numFmtId="0" fontId="10" fillId="0" borderId="10" xfId="0" applyFont="1" applyBorder="1" applyAlignment="1" applyProtection="1">
      <alignment horizontal="center" vertical="center"/>
    </xf>
    <xf numFmtId="0" fontId="10" fillId="0" borderId="11" xfId="0" applyFont="1" applyBorder="1" applyAlignment="1" applyProtection="1">
      <alignment horizontal="center" vertical="center"/>
    </xf>
    <xf numFmtId="0" fontId="10" fillId="0" borderId="12" xfId="0" applyFont="1" applyBorder="1" applyAlignment="1" applyProtection="1">
      <alignment horizontal="center" vertical="center"/>
    </xf>
    <xf numFmtId="0" fontId="10" fillId="0" borderId="13" xfId="0" applyFont="1" applyBorder="1" applyAlignment="1" applyProtection="1">
      <alignment horizontal="center" vertical="center"/>
    </xf>
    <xf numFmtId="0" fontId="21" fillId="0" borderId="20" xfId="0" applyFont="1" applyBorder="1" applyAlignment="1" applyProtection="1">
      <alignment horizontal="center"/>
    </xf>
    <xf numFmtId="0" fontId="0" fillId="0" borderId="21" xfId="0" applyBorder="1" applyAlignment="1" applyProtection="1"/>
    <xf numFmtId="0" fontId="26" fillId="0" borderId="3" xfId="0" applyFont="1" applyBorder="1" applyAlignment="1" applyProtection="1">
      <alignment wrapText="1"/>
    </xf>
    <xf numFmtId="0" fontId="0" fillId="0" borderId="4" xfId="0" applyBorder="1" applyAlignment="1" applyProtection="1">
      <alignment wrapText="1"/>
    </xf>
    <xf numFmtId="0" fontId="19" fillId="0" borderId="27" xfId="0" applyFont="1" applyBorder="1" applyAlignment="1" applyProtection="1">
      <alignment horizontal="justify" vertical="center" wrapText="1"/>
    </xf>
    <xf numFmtId="0" fontId="0" fillId="0" borderId="28" xfId="0" applyBorder="1" applyAlignment="1"/>
    <xf numFmtId="0" fontId="0" fillId="0" borderId="29" xfId="0" applyBorder="1" applyAlignment="1"/>
    <xf numFmtId="0" fontId="0" fillId="0" borderId="30" xfId="0" applyBorder="1" applyAlignment="1"/>
    <xf numFmtId="0" fontId="0" fillId="0" borderId="0" xfId="0" applyBorder="1" applyAlignment="1"/>
    <xf numFmtId="0" fontId="0" fillId="0" borderId="31" xfId="0" applyBorder="1" applyAlignment="1"/>
    <xf numFmtId="0" fontId="0" fillId="0" borderId="32" xfId="0" applyBorder="1" applyAlignment="1"/>
    <xf numFmtId="0" fontId="0" fillId="0" borderId="33" xfId="0" applyBorder="1" applyAlignment="1"/>
    <xf numFmtId="0" fontId="0" fillId="0" borderId="34" xfId="0" applyBorder="1" applyAlignment="1"/>
    <xf numFmtId="0" fontId="20" fillId="0" borderId="20" xfId="0" applyFont="1" applyBorder="1" applyAlignment="1" applyProtection="1">
      <alignment wrapText="1"/>
    </xf>
    <xf numFmtId="0" fontId="0" fillId="0" borderId="35" xfId="0" applyBorder="1" applyAlignment="1"/>
    <xf numFmtId="0" fontId="0" fillId="0" borderId="21" xfId="0" applyBorder="1" applyAlignment="1"/>
    <xf numFmtId="0" fontId="0" fillId="0" borderId="36" xfId="0" applyBorder="1" applyAlignment="1"/>
    <xf numFmtId="0" fontId="0" fillId="0" borderId="37" xfId="0" applyBorder="1" applyAlignment="1"/>
    <xf numFmtId="0" fontId="0" fillId="0" borderId="38" xfId="0" applyBorder="1" applyAlignment="1"/>
  </cellXfs>
  <cellStyles count="2">
    <cellStyle name="Normale" xfId="0" builtinId="0"/>
    <cellStyle name="Valuta" xfId="1" builtinId="4"/>
  </cellStyles>
  <dxfs count="0"/>
  <tableStyles count="0" defaultTableStyle="TableStyleMedium2" defaultPivotStyle="PivotStyleLight16"/>
  <colors>
    <mruColors>
      <color rgb="FFFEFC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32825</xdr:colOff>
      <xdr:row>0</xdr:row>
      <xdr:rowOff>67799</xdr:rowOff>
    </xdr:from>
    <xdr:to>
      <xdr:col>0</xdr:col>
      <xdr:colOff>1023425</xdr:colOff>
      <xdr:row>5</xdr:row>
      <xdr:rowOff>15097</xdr:rowOff>
    </xdr:to>
    <xdr:pic>
      <xdr:nvPicPr>
        <xdr:cNvPr id="2" name="Immagine 1" descr="cid:image002.jpg@01CA11D4.0B10588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25" y="67799"/>
          <a:ext cx="990600" cy="921238"/>
        </a:xfrm>
        <a:prstGeom prst="rect">
          <a:avLst/>
        </a:prstGeom>
        <a:noFill/>
        <a:ln>
          <a:noFill/>
        </a:ln>
      </xdr:spPr>
    </xdr:pic>
    <xdr:clientData/>
  </xdr:twoCellAnchor>
  <xdr:twoCellAnchor editAs="oneCell">
    <xdr:from>
      <xdr:col>68</xdr:col>
      <xdr:colOff>599326</xdr:colOff>
      <xdr:row>25</xdr:row>
      <xdr:rowOff>34247</xdr:rowOff>
    </xdr:from>
    <xdr:to>
      <xdr:col>74</xdr:col>
      <xdr:colOff>313776</xdr:colOff>
      <xdr:row>51</xdr:row>
      <xdr:rowOff>179911</xdr:rowOff>
    </xdr:to>
    <xdr:pic>
      <xdr:nvPicPr>
        <xdr:cNvPr id="3" name="Immagin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08832" y="4537753"/>
          <a:ext cx="3881120" cy="5537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4" zoomScale="118" zoomScaleNormal="118" workbookViewId="0">
      <selection activeCell="G32" sqref="G32"/>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5" t="s">
        <v>8</v>
      </c>
      <c r="B1" s="136"/>
      <c r="C1" s="136"/>
      <c r="D1" s="136"/>
      <c r="E1" s="136"/>
      <c r="F1" s="136"/>
      <c r="G1" s="136"/>
      <c r="H1" s="136"/>
      <c r="I1" s="136"/>
      <c r="J1" s="137"/>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0.19794520547945205</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19</v>
      </c>
      <c r="C11" s="24">
        <f>B11/365</f>
        <v>5.2054794520547946E-2</v>
      </c>
      <c r="D11" s="29">
        <f>IF(B8&lt;C11,B8,C11)</f>
        <v>5.2054794520547946E-2</v>
      </c>
      <c r="E11" s="1">
        <f>D11*$B$5</f>
        <v>3.1232876712328768</v>
      </c>
      <c r="F11" s="26">
        <f>E11*E28</f>
        <v>2.5540497534246578</v>
      </c>
      <c r="G11" s="7">
        <f>F11*$B$3</f>
        <v>204.32398027397261</v>
      </c>
      <c r="H11" s="7">
        <f>B4*$B$35</f>
        <v>237.0804</v>
      </c>
      <c r="I11" s="7">
        <f>B4*$B$38</f>
        <v>680.6028</v>
      </c>
      <c r="J11" s="7">
        <f>B4*3*(B41+B42+B43+B44)</f>
        <v>125.64</v>
      </c>
      <c r="K11" s="7">
        <f>(B47+B50+B53)/365*B5</f>
        <v>6.9139726027397268</v>
      </c>
    </row>
    <row r="12" spans="1:11" ht="13.8" x14ac:dyDescent="0.3">
      <c r="A12" s="1" t="s">
        <v>29</v>
      </c>
      <c r="B12" s="23">
        <f>G29</f>
        <v>9</v>
      </c>
      <c r="C12" s="24">
        <f t="shared" ref="C12:C14" si="0">B12/365</f>
        <v>2.4657534246575342E-2</v>
      </c>
      <c r="D12" s="30">
        <f>IF(B8-D11&lt;C12,B8-D11,C12)</f>
        <v>2.4657534246575342E-2</v>
      </c>
      <c r="E12" s="1">
        <f>D12*$B$5</f>
        <v>1.4794520547945205</v>
      </c>
      <c r="F12" s="7">
        <f>E12*E29</f>
        <v>1.5122677808219178</v>
      </c>
      <c r="G12" s="7">
        <f>F12*$B$3</f>
        <v>120.98142246575343</v>
      </c>
    </row>
    <row r="13" spans="1:11" ht="13.8" x14ac:dyDescent="0.3">
      <c r="A13" s="1" t="s">
        <v>30</v>
      </c>
      <c r="B13" s="23">
        <f>G30</f>
        <v>9</v>
      </c>
      <c r="C13" s="24">
        <f t="shared" si="0"/>
        <v>2.4657534246575342E-2</v>
      </c>
      <c r="D13" s="1">
        <f>IF(B8-D11-D12&lt;C13,B8-D11-D12,C13)</f>
        <v>2.4657534246575342E-2</v>
      </c>
      <c r="E13" s="1">
        <f>D13*$B$5</f>
        <v>1.4794520547945205</v>
      </c>
      <c r="F13" s="7">
        <f>E13*E30</f>
        <v>2.6389075068493151</v>
      </c>
      <c r="G13" s="7">
        <f>F13*$B$3</f>
        <v>211.11260054794519</v>
      </c>
    </row>
    <row r="14" spans="1:11" ht="13.8" x14ac:dyDescent="0.3">
      <c r="A14" s="1" t="s">
        <v>31</v>
      </c>
      <c r="B14" s="23">
        <f>G31</f>
        <v>27</v>
      </c>
      <c r="C14" s="24">
        <f t="shared" si="0"/>
        <v>7.3972602739726029E-2</v>
      </c>
      <c r="D14" s="1">
        <f>IF(B8-D11-D12-D13&lt;C14,B8-D11-D12-D13,C14)</f>
        <v>7.3972602739726029E-2</v>
      </c>
      <c r="E14" s="1">
        <f>D14*$B$5</f>
        <v>4.4383561643835616</v>
      </c>
      <c r="F14" s="7">
        <f>E14*E31</f>
        <v>11.17155106849315</v>
      </c>
      <c r="G14" s="7">
        <f>F14*$B$3</f>
        <v>893.72408547945201</v>
      </c>
    </row>
    <row r="15" spans="1:11" ht="13.8" x14ac:dyDescent="0.3">
      <c r="A15" s="1" t="s">
        <v>32</v>
      </c>
      <c r="B15" s="23">
        <f>G32</f>
        <v>0</v>
      </c>
      <c r="C15" s="25"/>
      <c r="D15" s="1">
        <f>B8-D11-D12-D13-D14</f>
        <v>7.4657534246575313E-2</v>
      </c>
      <c r="E15" s="1">
        <f>D15*$B$5</f>
        <v>4.4794520547945185</v>
      </c>
      <c r="F15" s="7">
        <f>E15*E32</f>
        <v>14.83616469863013</v>
      </c>
      <c r="G15" s="21">
        <f>F15*$B$3</f>
        <v>1186.8931758904105</v>
      </c>
    </row>
    <row r="17" spans="1:11" ht="13.8" x14ac:dyDescent="0.3">
      <c r="A17" s="9" t="s">
        <v>33</v>
      </c>
      <c r="C17" s="9">
        <f t="shared" ref="C17:K17" si="1">SUM(C11:C16)</f>
        <v>0.17534246575342466</v>
      </c>
      <c r="D17" s="9">
        <f t="shared" si="1"/>
        <v>0.24999999999999997</v>
      </c>
      <c r="E17" s="9">
        <f t="shared" si="1"/>
        <v>14.999999999999996</v>
      </c>
      <c r="F17" s="10">
        <f t="shared" si="1"/>
        <v>32.712940808219173</v>
      </c>
      <c r="G17" s="11">
        <f>SUM(G11:G16)</f>
        <v>2617.0352646575338</v>
      </c>
      <c r="H17" s="11">
        <f t="shared" si="1"/>
        <v>237.0804</v>
      </c>
      <c r="I17" s="11">
        <f t="shared" si="1"/>
        <v>680.6028</v>
      </c>
      <c r="J17" s="11">
        <f t="shared" si="1"/>
        <v>125.64</v>
      </c>
      <c r="K17" s="11">
        <f t="shared" si="1"/>
        <v>6.9139726027397268</v>
      </c>
    </row>
    <row r="18" spans="1:11" x14ac:dyDescent="0.2">
      <c r="A18" s="8" t="s">
        <v>34</v>
      </c>
      <c r="B18" s="12">
        <v>0.1</v>
      </c>
      <c r="C18" s="8"/>
      <c r="D18" s="8"/>
      <c r="E18" s="8"/>
      <c r="F18" s="8"/>
      <c r="G18" s="13">
        <f>G17*$B$18</f>
        <v>261.70352646575338</v>
      </c>
      <c r="H18" s="13">
        <f t="shared" ref="H18:K18" si="2">H17*$B$18</f>
        <v>23.70804</v>
      </c>
      <c r="I18" s="13">
        <f t="shared" si="2"/>
        <v>68.060280000000006</v>
      </c>
      <c r="J18" s="13">
        <f t="shared" si="2"/>
        <v>12.564</v>
      </c>
      <c r="K18" s="13">
        <f t="shared" si="2"/>
        <v>0.69139726027397275</v>
      </c>
    </row>
    <row r="19" spans="1:11" x14ac:dyDescent="0.2">
      <c r="A19" s="8" t="s">
        <v>35</v>
      </c>
      <c r="B19" s="8"/>
      <c r="C19" s="8"/>
      <c r="D19" s="8"/>
      <c r="E19" s="8"/>
      <c r="F19" s="8"/>
      <c r="G19" s="13">
        <f>G17+G18</f>
        <v>2878.7387911232872</v>
      </c>
      <c r="H19" s="13">
        <f t="shared" ref="H19:K19" si="3">H17+H18</f>
        <v>260.78843999999998</v>
      </c>
      <c r="I19" s="13">
        <f t="shared" si="3"/>
        <v>748.66308000000004</v>
      </c>
      <c r="J19" s="13">
        <f t="shared" si="3"/>
        <v>138.20400000000001</v>
      </c>
      <c r="K19" s="13">
        <f t="shared" si="3"/>
        <v>7.6053698630136992</v>
      </c>
    </row>
    <row r="21" spans="1:11" ht="13.8" x14ac:dyDescent="0.3">
      <c r="A21" s="1" t="s">
        <v>36</v>
      </c>
      <c r="B21" s="14">
        <f>G19+H19+I19+J19+K19</f>
        <v>4033.9996809863005</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76</v>
      </c>
      <c r="E28" s="19">
        <v>0.81774400000000003</v>
      </c>
      <c r="F28" s="18">
        <v>4</v>
      </c>
      <c r="G28" s="27">
        <f>D28/F28</f>
        <v>19</v>
      </c>
      <c r="H28" s="27">
        <f>TRUNC(G28/365,6)</f>
        <v>5.2054000000000003E-2</v>
      </c>
    </row>
    <row r="29" spans="1:11" x14ac:dyDescent="0.2">
      <c r="A29" s="17" t="s">
        <v>46</v>
      </c>
      <c r="B29" s="18" t="s">
        <v>47</v>
      </c>
      <c r="C29" s="18">
        <v>76</v>
      </c>
      <c r="D29" s="18">
        <v>112</v>
      </c>
      <c r="E29" s="68">
        <v>1.022181</v>
      </c>
      <c r="F29" s="18">
        <v>4</v>
      </c>
      <c r="G29" s="27">
        <f>(D29-C29)/F29</f>
        <v>9</v>
      </c>
      <c r="H29" s="27">
        <f t="shared" ref="H29:H31" si="4">TRUNC(G29/365,6)</f>
        <v>2.4656999999999998E-2</v>
      </c>
    </row>
    <row r="30" spans="1:11" x14ac:dyDescent="0.2">
      <c r="A30" s="17" t="s">
        <v>48</v>
      </c>
      <c r="B30" s="18" t="s">
        <v>49</v>
      </c>
      <c r="C30" s="18">
        <v>112</v>
      </c>
      <c r="D30" s="18">
        <v>148</v>
      </c>
      <c r="E30" s="31">
        <v>1.783706</v>
      </c>
      <c r="F30" s="18">
        <v>4</v>
      </c>
      <c r="G30" s="27">
        <f>(D30-C30)/F30</f>
        <v>9</v>
      </c>
      <c r="H30" s="27">
        <f t="shared" si="4"/>
        <v>2.4656999999999998E-2</v>
      </c>
    </row>
    <row r="31" spans="1:11" x14ac:dyDescent="0.2">
      <c r="A31" s="17" t="s">
        <v>50</v>
      </c>
      <c r="B31" s="18" t="s">
        <v>51</v>
      </c>
      <c r="C31" s="18">
        <v>148</v>
      </c>
      <c r="D31" s="18">
        <v>256</v>
      </c>
      <c r="E31" s="19">
        <v>2.5170469999999998</v>
      </c>
      <c r="F31" s="18">
        <v>4</v>
      </c>
      <c r="G31" s="27">
        <f>(D31-C31)/F31</f>
        <v>27</v>
      </c>
      <c r="H31" s="27">
        <f t="shared" si="4"/>
        <v>7.3971999999999996E-2</v>
      </c>
    </row>
    <row r="32" spans="1:11" x14ac:dyDescent="0.2">
      <c r="A32" s="17" t="s">
        <v>52</v>
      </c>
      <c r="B32" s="18" t="s">
        <v>53</v>
      </c>
      <c r="C32" s="18">
        <v>256</v>
      </c>
      <c r="D32" s="18"/>
      <c r="E32" s="19">
        <v>3.312049</v>
      </c>
      <c r="F32" s="18">
        <v>4</v>
      </c>
      <c r="G32" s="18"/>
      <c r="H32" s="18"/>
    </row>
    <row r="34" spans="1:5" x14ac:dyDescent="0.2">
      <c r="A34" s="2" t="s">
        <v>54</v>
      </c>
    </row>
    <row r="35" spans="1:5" ht="20.399999999999999" x14ac:dyDescent="0.2">
      <c r="A35" s="15" t="s">
        <v>55</v>
      </c>
      <c r="B35" s="15">
        <v>0.19756699999999999</v>
      </c>
      <c r="C35" s="15" t="s">
        <v>56</v>
      </c>
    </row>
    <row r="37" spans="1:5" x14ac:dyDescent="0.2">
      <c r="A37" s="2" t="s">
        <v>57</v>
      </c>
    </row>
    <row r="38" spans="1:5" ht="20.399999999999999" x14ac:dyDescent="0.2">
      <c r="A38" s="15" t="s">
        <v>55</v>
      </c>
      <c r="B38" s="15">
        <v>0.56716900000000003</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108</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13.21</v>
      </c>
      <c r="C47" s="15"/>
    </row>
    <row r="48" spans="1:5" x14ac:dyDescent="0.2">
      <c r="E48" s="20"/>
    </row>
    <row r="49" spans="1:3" x14ac:dyDescent="0.2">
      <c r="A49" s="2" t="s">
        <v>68</v>
      </c>
      <c r="B49" s="2" t="s">
        <v>67</v>
      </c>
    </row>
    <row r="50" spans="1:3" ht="20.399999999999999" x14ac:dyDescent="0.2">
      <c r="A50" s="15" t="s">
        <v>55</v>
      </c>
      <c r="B50" s="15">
        <v>4.59</v>
      </c>
      <c r="C50" s="15"/>
    </row>
    <row r="52" spans="1:3" x14ac:dyDescent="0.2">
      <c r="A52" s="2" t="s">
        <v>69</v>
      </c>
      <c r="B52" s="2" t="s">
        <v>67</v>
      </c>
    </row>
    <row r="53" spans="1:3" x14ac:dyDescent="0.2">
      <c r="A53" s="15" t="s">
        <v>38</v>
      </c>
      <c r="B53" s="15">
        <v>24.26</v>
      </c>
      <c r="C53" s="15"/>
    </row>
  </sheetData>
  <mergeCells count="1">
    <mergeCell ref="A1:J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opLeftCell="A27" zoomScale="118" zoomScaleNormal="118" workbookViewId="0">
      <selection activeCell="A27" sqref="A1:XFD1048576"/>
    </sheetView>
  </sheetViews>
  <sheetFormatPr defaultColWidth="9.109375" defaultRowHeight="10.199999999999999" x14ac:dyDescent="0.2"/>
  <cols>
    <col min="1" max="1" width="19.88671875" style="2" customWidth="1"/>
    <col min="2" max="2" width="19.5546875" style="2" bestFit="1" customWidth="1"/>
    <col min="3" max="3" width="15" style="2" customWidth="1"/>
    <col min="4" max="4" width="19.88671875" style="2" bestFit="1" customWidth="1"/>
    <col min="5" max="5" width="16.88671875" style="2" customWidth="1"/>
    <col min="6" max="6" width="10.5546875" style="2" customWidth="1"/>
    <col min="7" max="7" width="13.109375" style="2" customWidth="1"/>
    <col min="8" max="8" width="9.109375" style="2"/>
    <col min="9" max="9" width="10.88671875" style="2" bestFit="1" customWidth="1"/>
    <col min="10" max="10" width="11.5546875" style="2" bestFit="1" customWidth="1"/>
    <col min="11" max="11" width="10.5546875" style="2" bestFit="1" customWidth="1"/>
    <col min="12" max="16384" width="9.109375" style="2"/>
  </cols>
  <sheetData>
    <row r="1" spans="1:11" ht="14.4" x14ac:dyDescent="0.2">
      <c r="A1" s="135" t="s">
        <v>8</v>
      </c>
      <c r="B1" s="136"/>
      <c r="C1" s="136"/>
      <c r="D1" s="136"/>
      <c r="E1" s="136"/>
      <c r="F1" s="136"/>
      <c r="G1" s="136"/>
      <c r="H1" s="136"/>
      <c r="I1" s="136"/>
      <c r="J1" s="137"/>
    </row>
    <row r="3" spans="1:11" ht="13.8" x14ac:dyDescent="0.3">
      <c r="A3" s="4" t="s">
        <v>9</v>
      </c>
      <c r="B3" s="4">
        <v>80</v>
      </c>
      <c r="C3" s="5"/>
      <c r="D3" s="5"/>
      <c r="E3" s="5"/>
      <c r="F3" s="5"/>
    </row>
    <row r="4" spans="1:11" ht="13.8" x14ac:dyDescent="0.3">
      <c r="A4" s="4" t="s">
        <v>10</v>
      </c>
      <c r="B4" s="4">
        <v>1200</v>
      </c>
      <c r="C4" s="5"/>
      <c r="D4" s="5"/>
      <c r="E4" s="5"/>
      <c r="F4" s="5"/>
    </row>
    <row r="5" spans="1:11" ht="13.8" x14ac:dyDescent="0.3">
      <c r="A5" s="4" t="s">
        <v>11</v>
      </c>
      <c r="B5" s="4">
        <v>60</v>
      </c>
      <c r="C5" s="5"/>
      <c r="D5" s="5"/>
      <c r="E5" s="5"/>
      <c r="F5" s="5"/>
    </row>
    <row r="6" spans="1:11" ht="13.8" x14ac:dyDescent="0.3">
      <c r="C6" s="5"/>
      <c r="D6" s="5"/>
      <c r="E6" s="5"/>
      <c r="F6" s="5"/>
    </row>
    <row r="7" spans="1:11" ht="13.8" x14ac:dyDescent="0.3">
      <c r="A7" s="1" t="s">
        <v>12</v>
      </c>
      <c r="B7" s="1">
        <f>B4/B3</f>
        <v>15</v>
      </c>
      <c r="C7" s="5"/>
      <c r="D7" s="5"/>
      <c r="E7" s="5"/>
      <c r="F7" s="5"/>
    </row>
    <row r="8" spans="1:11" ht="13.8" x14ac:dyDescent="0.3">
      <c r="A8" s="1" t="s">
        <v>13</v>
      </c>
      <c r="B8" s="28">
        <f>B7/B5</f>
        <v>0.25</v>
      </c>
      <c r="C8" s="5"/>
      <c r="D8" s="5">
        <f>B8-D11</f>
        <v>0.1952054794520548</v>
      </c>
      <c r="E8" s="5"/>
      <c r="F8" s="5"/>
    </row>
    <row r="9" spans="1:11" ht="13.8" x14ac:dyDescent="0.3">
      <c r="A9" s="5"/>
      <c r="B9" s="5"/>
      <c r="C9" s="5"/>
      <c r="D9" s="5"/>
      <c r="E9" s="5"/>
      <c r="F9" s="5"/>
      <c r="G9" s="6" t="s">
        <v>14</v>
      </c>
      <c r="H9" s="6" t="s">
        <v>15</v>
      </c>
      <c r="I9" s="6" t="s">
        <v>16</v>
      </c>
      <c r="J9" s="6" t="s">
        <v>17</v>
      </c>
      <c r="K9" s="6" t="s">
        <v>18</v>
      </c>
    </row>
    <row r="10" spans="1:11" s="3" customFormat="1" ht="13.8" x14ac:dyDescent="0.3">
      <c r="A10" s="6" t="s">
        <v>19</v>
      </c>
      <c r="B10" s="22" t="s">
        <v>20</v>
      </c>
      <c r="C10" s="22" t="s">
        <v>21</v>
      </c>
      <c r="D10" s="6" t="s">
        <v>22</v>
      </c>
      <c r="E10" s="6" t="s">
        <v>23</v>
      </c>
      <c r="F10" s="6" t="s">
        <v>24</v>
      </c>
      <c r="G10" s="6" t="s">
        <v>25</v>
      </c>
      <c r="H10" s="6" t="s">
        <v>26</v>
      </c>
      <c r="I10" s="6" t="s">
        <v>26</v>
      </c>
      <c r="J10" s="6" t="s">
        <v>26</v>
      </c>
      <c r="K10" s="6" t="s">
        <v>27</v>
      </c>
    </row>
    <row r="11" spans="1:11" ht="13.8" x14ac:dyDescent="0.3">
      <c r="A11" s="1" t="s">
        <v>28</v>
      </c>
      <c r="B11" s="23">
        <f>G28</f>
        <v>20</v>
      </c>
      <c r="C11" s="24">
        <f>B11/365</f>
        <v>5.4794520547945202E-2</v>
      </c>
      <c r="D11" s="29">
        <f>IF(B8&lt;C11,B8,C11)</f>
        <v>5.4794520547945202E-2</v>
      </c>
      <c r="E11" s="1">
        <f>D11*$B$5</f>
        <v>3.2876712328767121</v>
      </c>
      <c r="F11" s="26">
        <f>E11*E28</f>
        <v>2.3297819178082189</v>
      </c>
      <c r="G11" s="7">
        <f>F11*$B$3</f>
        <v>186.38255342465752</v>
      </c>
      <c r="H11" s="7">
        <f>B4*$B$35</f>
        <v>241.72920000000002</v>
      </c>
      <c r="I11" s="7">
        <f>B4*$B$38</f>
        <v>697.8048</v>
      </c>
      <c r="J11" s="7">
        <f>B4*3*(B41+B42+B43+B44)</f>
        <v>125.64</v>
      </c>
      <c r="K11" s="7">
        <f>(B47+B50+B53)/365*B5</f>
        <v>7.0487671232876705</v>
      </c>
    </row>
    <row r="12" spans="1:11" ht="13.8" x14ac:dyDescent="0.3">
      <c r="A12" s="1" t="s">
        <v>29</v>
      </c>
      <c r="B12" s="23">
        <f>G29</f>
        <v>10</v>
      </c>
      <c r="C12" s="24">
        <f t="shared" ref="C12:C14" si="0">B12/365</f>
        <v>2.7397260273972601E-2</v>
      </c>
      <c r="D12" s="30">
        <f>IF(B8-D11&lt;C12,B8-D11,C12)</f>
        <v>2.7397260273972601E-2</v>
      </c>
      <c r="E12" s="1">
        <f>D12*$B$5</f>
        <v>1.6438356164383561</v>
      </c>
      <c r="F12" s="7">
        <f>E12*E29</f>
        <v>1.4561128767123286</v>
      </c>
      <c r="G12" s="7">
        <f>F12*$B$3</f>
        <v>116.48903013698629</v>
      </c>
    </row>
    <row r="13" spans="1:11" ht="13.8" x14ac:dyDescent="0.3">
      <c r="A13" s="1" t="s">
        <v>30</v>
      </c>
      <c r="B13" s="23">
        <f>G30</f>
        <v>10</v>
      </c>
      <c r="C13" s="24">
        <f t="shared" si="0"/>
        <v>2.7397260273972601E-2</v>
      </c>
      <c r="D13" s="1">
        <f>IF(B8-D11-D12&lt;C13,B8-D11-D12,C13)</f>
        <v>2.7397260273972601E-2</v>
      </c>
      <c r="E13" s="1">
        <f>D13*$B$5</f>
        <v>1.6438356164383561</v>
      </c>
      <c r="F13" s="7">
        <f>E13*E30</f>
        <v>2.5409227397260272</v>
      </c>
      <c r="G13" s="7">
        <f>F13*$B$3</f>
        <v>203.27381917808219</v>
      </c>
    </row>
    <row r="14" spans="1:11" ht="13.8" x14ac:dyDescent="0.3">
      <c r="A14" s="1" t="s">
        <v>31</v>
      </c>
      <c r="B14" s="23">
        <f>G31</f>
        <v>30</v>
      </c>
      <c r="C14" s="24">
        <f t="shared" si="0"/>
        <v>8.2191780821917804E-2</v>
      </c>
      <c r="D14" s="1">
        <f>IF(B8-D11-D12-D13&lt;C14,B8-D11-D12-D13,C14)</f>
        <v>8.2191780821917804E-2</v>
      </c>
      <c r="E14" s="1">
        <f>D14*$B$5</f>
        <v>4.9315068493150687</v>
      </c>
      <c r="F14" s="7">
        <f>E14*E31</f>
        <v>10.756745753424658</v>
      </c>
      <c r="G14" s="7">
        <f>F14*$B$3</f>
        <v>860.53966027397269</v>
      </c>
    </row>
    <row r="15" spans="1:11" ht="13.8" x14ac:dyDescent="0.3">
      <c r="A15" s="1" t="s">
        <v>32</v>
      </c>
      <c r="B15" s="23">
        <f>G32</f>
        <v>0</v>
      </c>
      <c r="C15" s="25"/>
      <c r="D15" s="1">
        <f>B8-D11-D12-D13-D14</f>
        <v>5.8219178082191791E-2</v>
      </c>
      <c r="E15" s="1">
        <f>D15*$B$5</f>
        <v>3.4931506849315075</v>
      </c>
      <c r="F15" s="7">
        <f>E15*E32</f>
        <v>10.025915342465755</v>
      </c>
      <c r="G15" s="21">
        <f>F15*$B$3</f>
        <v>802.07322739726033</v>
      </c>
    </row>
    <row r="17" spans="1:11" ht="13.8" x14ac:dyDescent="0.3">
      <c r="A17" s="9" t="s">
        <v>33</v>
      </c>
      <c r="C17" s="9">
        <f t="shared" ref="C17:K17" si="1">SUM(C11:C16)</f>
        <v>0.19178082191780821</v>
      </c>
      <c r="D17" s="9">
        <f t="shared" si="1"/>
        <v>0.25</v>
      </c>
      <c r="E17" s="9">
        <f t="shared" si="1"/>
        <v>15</v>
      </c>
      <c r="F17" s="10">
        <f t="shared" si="1"/>
        <v>27.109478630136987</v>
      </c>
      <c r="G17" s="11">
        <f>SUM(G11:G16)</f>
        <v>2168.758290410959</v>
      </c>
      <c r="H17" s="11">
        <f t="shared" si="1"/>
        <v>241.72920000000002</v>
      </c>
      <c r="I17" s="11">
        <f t="shared" si="1"/>
        <v>697.8048</v>
      </c>
      <c r="J17" s="11">
        <f t="shared" si="1"/>
        <v>125.64</v>
      </c>
      <c r="K17" s="11">
        <f t="shared" si="1"/>
        <v>7.0487671232876705</v>
      </c>
    </row>
    <row r="18" spans="1:11" x14ac:dyDescent="0.2">
      <c r="A18" s="8" t="s">
        <v>34</v>
      </c>
      <c r="B18" s="12">
        <v>0.1</v>
      </c>
      <c r="C18" s="8"/>
      <c r="D18" s="8"/>
      <c r="E18" s="8"/>
      <c r="F18" s="8"/>
      <c r="G18" s="13">
        <f>G17*$B$18</f>
        <v>216.87582904109593</v>
      </c>
      <c r="H18" s="13">
        <f t="shared" ref="H18:K18" si="2">H17*$B$18</f>
        <v>24.172920000000005</v>
      </c>
      <c r="I18" s="13">
        <f t="shared" si="2"/>
        <v>69.780479999999997</v>
      </c>
      <c r="J18" s="13">
        <f t="shared" si="2"/>
        <v>12.564</v>
      </c>
      <c r="K18" s="13">
        <f t="shared" si="2"/>
        <v>0.70487671232876714</v>
      </c>
    </row>
    <row r="19" spans="1:11" x14ac:dyDescent="0.2">
      <c r="A19" s="8" t="s">
        <v>35</v>
      </c>
      <c r="B19" s="8"/>
      <c r="C19" s="8"/>
      <c r="D19" s="8"/>
      <c r="E19" s="8"/>
      <c r="F19" s="8"/>
      <c r="G19" s="13">
        <f>G17+G18</f>
        <v>2385.6341194520551</v>
      </c>
      <c r="H19" s="13">
        <f t="shared" ref="H19:K19" si="3">H17+H18</f>
        <v>265.90212000000002</v>
      </c>
      <c r="I19" s="13">
        <f t="shared" si="3"/>
        <v>767.58528000000001</v>
      </c>
      <c r="J19" s="13">
        <f t="shared" si="3"/>
        <v>138.20400000000001</v>
      </c>
      <c r="K19" s="13">
        <f t="shared" si="3"/>
        <v>7.7536438356164377</v>
      </c>
    </row>
    <row r="21" spans="1:11" ht="13.8" x14ac:dyDescent="0.3">
      <c r="A21" s="1" t="s">
        <v>36</v>
      </c>
      <c r="B21" s="14">
        <f>G19+H19+I19+J19+K19</f>
        <v>3565.0791632876721</v>
      </c>
    </row>
    <row r="26" spans="1:11" x14ac:dyDescent="0.2">
      <c r="A26" s="2" t="s">
        <v>37</v>
      </c>
    </row>
    <row r="27" spans="1:11" ht="20.399999999999999" x14ac:dyDescent="0.2">
      <c r="A27" s="15" t="s">
        <v>38</v>
      </c>
      <c r="B27" s="16" t="s">
        <v>39</v>
      </c>
      <c r="C27" s="16" t="s">
        <v>40</v>
      </c>
      <c r="D27" s="16" t="s">
        <v>41</v>
      </c>
      <c r="E27" s="16" t="s">
        <v>42</v>
      </c>
      <c r="F27" s="16" t="s">
        <v>9</v>
      </c>
      <c r="G27" s="16" t="s">
        <v>43</v>
      </c>
      <c r="H27" s="16" t="s">
        <v>21</v>
      </c>
    </row>
    <row r="28" spans="1:11" x14ac:dyDescent="0.2">
      <c r="A28" s="17" t="s">
        <v>44</v>
      </c>
      <c r="B28" s="18" t="s">
        <v>45</v>
      </c>
      <c r="C28" s="18">
        <v>0</v>
      </c>
      <c r="D28" s="18">
        <v>20</v>
      </c>
      <c r="E28" s="19">
        <v>0.70864199999999999</v>
      </c>
      <c r="F28" s="18">
        <v>1</v>
      </c>
      <c r="G28" s="27">
        <f>D28/F28</f>
        <v>20</v>
      </c>
      <c r="H28" s="27">
        <f>TRUNC(G28/365,6)</f>
        <v>5.4794000000000002E-2</v>
      </c>
    </row>
    <row r="29" spans="1:11" x14ac:dyDescent="0.2">
      <c r="A29" s="17" t="s">
        <v>46</v>
      </c>
      <c r="B29" s="18" t="s">
        <v>47</v>
      </c>
      <c r="C29" s="18">
        <v>20</v>
      </c>
      <c r="D29" s="18">
        <v>30</v>
      </c>
      <c r="E29" s="68">
        <v>0.88580199999999998</v>
      </c>
      <c r="F29" s="18">
        <v>1</v>
      </c>
      <c r="G29" s="27">
        <f>(D29-C29)/F29</f>
        <v>10</v>
      </c>
      <c r="H29" s="27">
        <f t="shared" ref="H29:H31" si="4">TRUNC(G29/365,6)</f>
        <v>2.7397000000000001E-2</v>
      </c>
    </row>
    <row r="30" spans="1:11" x14ac:dyDescent="0.2">
      <c r="A30" s="17" t="s">
        <v>48</v>
      </c>
      <c r="B30" s="18" t="s">
        <v>49</v>
      </c>
      <c r="C30" s="18">
        <v>30</v>
      </c>
      <c r="D30" s="18">
        <v>40</v>
      </c>
      <c r="E30" s="31">
        <v>1.545728</v>
      </c>
      <c r="F30" s="18">
        <v>1</v>
      </c>
      <c r="G30" s="27">
        <f>(D30-C30)/F30</f>
        <v>10</v>
      </c>
      <c r="H30" s="27">
        <f t="shared" si="4"/>
        <v>2.7397000000000001E-2</v>
      </c>
    </row>
    <row r="31" spans="1:11" x14ac:dyDescent="0.2">
      <c r="A31" s="17" t="s">
        <v>50</v>
      </c>
      <c r="B31" s="18" t="s">
        <v>51</v>
      </c>
      <c r="C31" s="18">
        <v>40</v>
      </c>
      <c r="D31" s="18">
        <v>70</v>
      </c>
      <c r="E31" s="19">
        <v>2.1812290000000001</v>
      </c>
      <c r="F31" s="18">
        <v>1</v>
      </c>
      <c r="G31" s="27">
        <f>(D31-C31)/F31</f>
        <v>30</v>
      </c>
      <c r="H31" s="27">
        <f t="shared" si="4"/>
        <v>8.2191E-2</v>
      </c>
    </row>
    <row r="32" spans="1:11" x14ac:dyDescent="0.2">
      <c r="A32" s="17" t="s">
        <v>52</v>
      </c>
      <c r="B32" s="18" t="s">
        <v>53</v>
      </c>
      <c r="C32" s="18">
        <v>70</v>
      </c>
      <c r="D32" s="18"/>
      <c r="E32" s="19">
        <v>2.8701639999999999</v>
      </c>
      <c r="F32" s="18">
        <v>1</v>
      </c>
      <c r="G32" s="18"/>
      <c r="H32" s="18"/>
    </row>
    <row r="34" spans="1:5" x14ac:dyDescent="0.2">
      <c r="A34" s="2" t="s">
        <v>54</v>
      </c>
    </row>
    <row r="35" spans="1:5" ht="20.399999999999999" x14ac:dyDescent="0.2">
      <c r="A35" s="15" t="s">
        <v>55</v>
      </c>
      <c r="B35" s="15">
        <v>0.20144100000000001</v>
      </c>
      <c r="C35" s="15" t="s">
        <v>56</v>
      </c>
    </row>
    <row r="37" spans="1:5" x14ac:dyDescent="0.2">
      <c r="A37" s="2" t="s">
        <v>57</v>
      </c>
    </row>
    <row r="38" spans="1:5" ht="20.399999999999999" x14ac:dyDescent="0.2">
      <c r="A38" s="15" t="s">
        <v>55</v>
      </c>
      <c r="B38" s="15">
        <v>0.58150400000000002</v>
      </c>
      <c r="C38" s="15" t="s">
        <v>56</v>
      </c>
    </row>
    <row r="40" spans="1:5" x14ac:dyDescent="0.2">
      <c r="A40" s="8" t="s">
        <v>58</v>
      </c>
      <c r="B40" s="8" t="s">
        <v>59</v>
      </c>
      <c r="C40" s="8" t="s">
        <v>60</v>
      </c>
    </row>
    <row r="41" spans="1:5" x14ac:dyDescent="0.2">
      <c r="A41" s="8" t="s">
        <v>61</v>
      </c>
      <c r="B41" s="8">
        <v>4.0000000000000001E-3</v>
      </c>
      <c r="C41" s="8" t="s">
        <v>62</v>
      </c>
    </row>
    <row r="42" spans="1:5" x14ac:dyDescent="0.2">
      <c r="A42" s="8" t="s">
        <v>63</v>
      </c>
      <c r="B42" s="8">
        <v>8.9999999999999993E-3</v>
      </c>
      <c r="C42" s="8" t="s">
        <v>62</v>
      </c>
    </row>
    <row r="43" spans="1:5" x14ac:dyDescent="0.2">
      <c r="A43" s="8" t="s">
        <v>64</v>
      </c>
      <c r="B43" s="8">
        <v>1.7899999999999999E-2</v>
      </c>
      <c r="C43" s="8" t="s">
        <v>62</v>
      </c>
      <c r="D43" s="8">
        <v>5.0000000000000001E-3</v>
      </c>
      <c r="E43" s="2" t="s">
        <v>108</v>
      </c>
    </row>
    <row r="44" spans="1:5" x14ac:dyDescent="0.2">
      <c r="A44" s="8" t="s">
        <v>65</v>
      </c>
      <c r="B44" s="8">
        <v>4.0000000000000001E-3</v>
      </c>
      <c r="C44" s="8" t="s">
        <v>62</v>
      </c>
    </row>
    <row r="46" spans="1:5" x14ac:dyDescent="0.2">
      <c r="A46" s="2" t="s">
        <v>66</v>
      </c>
      <c r="B46" s="2" t="s">
        <v>67</v>
      </c>
    </row>
    <row r="47" spans="1:5" ht="20.399999999999999" x14ac:dyDescent="0.2">
      <c r="A47" s="15" t="s">
        <v>55</v>
      </c>
      <c r="B47" s="15">
        <v>13.47</v>
      </c>
      <c r="C47" s="15"/>
    </row>
    <row r="48" spans="1:5" x14ac:dyDescent="0.2">
      <c r="E48" s="20"/>
    </row>
    <row r="49" spans="1:3" x14ac:dyDescent="0.2">
      <c r="A49" s="2" t="s">
        <v>68</v>
      </c>
      <c r="B49" s="2" t="s">
        <v>67</v>
      </c>
    </row>
    <row r="50" spans="1:3" ht="20.399999999999999" x14ac:dyDescent="0.2">
      <c r="A50" s="15" t="s">
        <v>55</v>
      </c>
      <c r="B50" s="15">
        <v>4.68</v>
      </c>
      <c r="C50" s="15"/>
    </row>
    <row r="52" spans="1:3" x14ac:dyDescent="0.2">
      <c r="A52" s="2" t="s">
        <v>69</v>
      </c>
      <c r="B52" s="2" t="s">
        <v>67</v>
      </c>
    </row>
    <row r="53" spans="1:3" x14ac:dyDescent="0.2">
      <c r="A53" s="15" t="s">
        <v>38</v>
      </c>
      <c r="B53" s="15">
        <v>24.73</v>
      </c>
      <c r="C53" s="15"/>
    </row>
  </sheetData>
  <mergeCells count="1">
    <mergeCell ref="A1:J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R86"/>
  <sheetViews>
    <sheetView tabSelected="1" topLeftCell="A10" zoomScale="82" zoomScaleNormal="82" zoomScalePageLayoutView="65" workbookViewId="0">
      <selection activeCell="AY21" sqref="AY21:BP22"/>
    </sheetView>
  </sheetViews>
  <sheetFormatPr defaultColWidth="8.88671875" defaultRowHeight="14.4" x14ac:dyDescent="0.3"/>
  <cols>
    <col min="1" max="1" width="25.44140625" style="32" customWidth="1"/>
    <col min="2" max="2" width="13.33203125" style="32" customWidth="1"/>
    <col min="3" max="3" width="11.33203125" style="32" customWidth="1"/>
    <col min="4" max="4" width="12.44140625" style="32" customWidth="1"/>
    <col min="5" max="5" width="12.44140625" style="32" hidden="1" customWidth="1"/>
    <col min="6" max="6" width="16.33203125" style="32" hidden="1" customWidth="1"/>
    <col min="7" max="7" width="13.6640625" style="32" hidden="1" customWidth="1"/>
    <col min="8" max="9" width="10" style="33" hidden="1" customWidth="1"/>
    <col min="10" max="10" width="14.33203125" style="33" hidden="1" customWidth="1"/>
    <col min="11" max="11" width="10" style="33" hidden="1" customWidth="1"/>
    <col min="12" max="13" width="12.33203125" style="33" hidden="1" customWidth="1"/>
    <col min="14" max="25" width="8.88671875" style="32" hidden="1" customWidth="1"/>
    <col min="26" max="31" width="11" style="32" hidden="1" customWidth="1"/>
    <col min="32" max="35" width="11.33203125" style="32" hidden="1" customWidth="1"/>
    <col min="36" max="43" width="12.33203125" style="32" hidden="1" customWidth="1"/>
    <col min="44" max="44" width="11.6640625" style="32" customWidth="1"/>
    <col min="45" max="45" width="12.33203125" style="32" bestFit="1" customWidth="1"/>
    <col min="46" max="46" width="12.44140625" style="32" customWidth="1"/>
    <col min="47" max="47" width="15.109375" style="32" bestFit="1" customWidth="1"/>
    <col min="48" max="49" width="12.33203125" style="32" customWidth="1"/>
    <col min="50" max="50" width="16.88671875" style="32" hidden="1" customWidth="1"/>
    <col min="51" max="51" width="16.109375" style="32" customWidth="1"/>
    <col min="52" max="52" width="14" style="32" hidden="1" customWidth="1"/>
    <col min="53" max="53" width="14" style="32" customWidth="1"/>
    <col min="54" max="54" width="14.44140625" style="32" hidden="1" customWidth="1"/>
    <col min="55" max="55" width="14.44140625" style="32" customWidth="1"/>
    <col min="56" max="61" width="14.33203125" style="32" hidden="1" customWidth="1"/>
    <col min="62" max="66" width="12.5546875" style="32" hidden="1" customWidth="1"/>
    <col min="67" max="67" width="12.5546875" style="32" customWidth="1"/>
    <col min="68" max="68" width="16" style="32" customWidth="1"/>
    <col min="69" max="69" width="2.5546875" style="32" customWidth="1"/>
    <col min="70" max="70" width="14.88671875" style="32" customWidth="1"/>
    <col min="71" max="71" width="3.6640625" style="32" customWidth="1"/>
    <col min="72" max="73" width="11.44140625" style="32" customWidth="1"/>
    <col min="74" max="75" width="10.33203125" style="32" customWidth="1"/>
    <col min="76" max="76" width="8.88671875" style="32" customWidth="1"/>
    <col min="77" max="16384" width="8.88671875" style="32"/>
  </cols>
  <sheetData>
    <row r="1" spans="1:69" ht="15" thickBot="1" x14ac:dyDescent="0.35"/>
    <row r="2" spans="1:69" s="35" customFormat="1" ht="15" thickTop="1" x14ac:dyDescent="0.3">
      <c r="A2" s="34"/>
      <c r="B2" s="34"/>
      <c r="H2" s="34"/>
      <c r="I2" s="34"/>
      <c r="J2" s="34"/>
      <c r="K2" s="34"/>
      <c r="L2" s="34"/>
      <c r="M2" s="34"/>
      <c r="AS2" s="140" t="s">
        <v>141</v>
      </c>
      <c r="AT2" s="141"/>
      <c r="AU2" s="141"/>
      <c r="AV2" s="141"/>
      <c r="AW2" s="141"/>
      <c r="AX2" s="141"/>
      <c r="AY2" s="141"/>
      <c r="AZ2" s="141"/>
      <c r="BA2" s="141"/>
      <c r="BB2" s="141"/>
      <c r="BC2" s="141"/>
      <c r="BD2" s="141"/>
      <c r="BE2" s="141"/>
      <c r="BF2" s="141"/>
      <c r="BG2" s="141"/>
      <c r="BH2" s="141"/>
      <c r="BI2" s="141"/>
      <c r="BJ2" s="141"/>
      <c r="BK2" s="141"/>
      <c r="BL2" s="141"/>
      <c r="BM2" s="141"/>
      <c r="BN2" s="141"/>
      <c r="BO2" s="141"/>
      <c r="BP2" s="142"/>
    </row>
    <row r="3" spans="1:69" s="35" customFormat="1" x14ac:dyDescent="0.3">
      <c r="A3" s="34"/>
      <c r="B3" s="34"/>
      <c r="H3" s="34"/>
      <c r="I3" s="34"/>
      <c r="J3" s="34"/>
      <c r="K3" s="34"/>
      <c r="L3" s="34"/>
      <c r="M3" s="34"/>
      <c r="AM3" s="72"/>
      <c r="AN3" s="72"/>
      <c r="AS3" s="143"/>
      <c r="AT3" s="144"/>
      <c r="AU3" s="144"/>
      <c r="AV3" s="144"/>
      <c r="AW3" s="144"/>
      <c r="AX3" s="144"/>
      <c r="AY3" s="144"/>
      <c r="AZ3" s="144"/>
      <c r="BA3" s="144"/>
      <c r="BB3" s="144"/>
      <c r="BC3" s="144"/>
      <c r="BD3" s="144"/>
      <c r="BE3" s="144"/>
      <c r="BF3" s="144"/>
      <c r="BG3" s="144"/>
      <c r="BH3" s="144"/>
      <c r="BI3" s="144"/>
      <c r="BJ3" s="144"/>
      <c r="BK3" s="144"/>
      <c r="BL3" s="144"/>
      <c r="BM3" s="144"/>
      <c r="BN3" s="144"/>
      <c r="BO3" s="144"/>
      <c r="BP3" s="145"/>
    </row>
    <row r="4" spans="1:69" s="35" customFormat="1" ht="15" thickBot="1" x14ac:dyDescent="0.35">
      <c r="A4" s="34"/>
      <c r="B4" s="34"/>
      <c r="H4" s="34"/>
      <c r="I4" s="34"/>
      <c r="J4" s="34"/>
      <c r="K4" s="34"/>
      <c r="L4" s="34"/>
      <c r="M4" s="34"/>
      <c r="AM4" s="72"/>
      <c r="AN4" s="72"/>
      <c r="AS4" s="146"/>
      <c r="AT4" s="147"/>
      <c r="AU4" s="147"/>
      <c r="AV4" s="147"/>
      <c r="AW4" s="147"/>
      <c r="AX4" s="147"/>
      <c r="AY4" s="147"/>
      <c r="AZ4" s="147"/>
      <c r="BA4" s="147"/>
      <c r="BB4" s="147"/>
      <c r="BC4" s="147"/>
      <c r="BD4" s="147"/>
      <c r="BE4" s="147"/>
      <c r="BF4" s="147"/>
      <c r="BG4" s="147"/>
      <c r="BH4" s="147"/>
      <c r="BI4" s="147"/>
      <c r="BJ4" s="147"/>
      <c r="BK4" s="147"/>
      <c r="BL4" s="147"/>
      <c r="BM4" s="147"/>
      <c r="BN4" s="147"/>
      <c r="BO4" s="147"/>
      <c r="BP4" s="148"/>
    </row>
    <row r="5" spans="1:69" ht="15.6" thickTop="1" thickBot="1" x14ac:dyDescent="0.35">
      <c r="A5" s="36"/>
      <c r="B5" s="37"/>
      <c r="AL5" s="72"/>
      <c r="AM5" s="72"/>
      <c r="AN5" s="72"/>
    </row>
    <row r="6" spans="1:69" x14ac:dyDescent="0.3">
      <c r="A6" s="36"/>
      <c r="B6" s="37"/>
      <c r="AL6" s="72"/>
      <c r="AM6" s="72"/>
      <c r="AN6" s="72"/>
      <c r="AS6" s="153" t="s">
        <v>143</v>
      </c>
      <c r="AT6" s="154"/>
      <c r="AU6" s="154"/>
      <c r="AV6" s="154"/>
      <c r="AW6" s="154"/>
      <c r="AX6" s="154"/>
      <c r="AY6" s="154"/>
      <c r="AZ6" s="154"/>
      <c r="BA6" s="154"/>
      <c r="BB6" s="154"/>
      <c r="BC6" s="154"/>
      <c r="BD6" s="154"/>
      <c r="BE6" s="154"/>
      <c r="BF6" s="154"/>
      <c r="BG6" s="154"/>
      <c r="BH6" s="154"/>
      <c r="BI6" s="154"/>
      <c r="BJ6" s="154"/>
      <c r="BK6" s="154"/>
      <c r="BL6" s="154"/>
      <c r="BM6" s="154"/>
      <c r="BN6" s="154"/>
      <c r="BO6" s="154"/>
      <c r="BP6" s="155"/>
    </row>
    <row r="7" spans="1:69" x14ac:dyDescent="0.3">
      <c r="A7" s="38" t="s">
        <v>7</v>
      </c>
      <c r="B7" s="36"/>
      <c r="AL7" s="72"/>
      <c r="AM7" s="72"/>
      <c r="AN7" s="72"/>
      <c r="AS7" s="156"/>
      <c r="AT7" s="157"/>
      <c r="AU7" s="157"/>
      <c r="AV7" s="157"/>
      <c r="AW7" s="157"/>
      <c r="AX7" s="157"/>
      <c r="AY7" s="157"/>
      <c r="AZ7" s="157"/>
      <c r="BA7" s="157"/>
      <c r="BB7" s="157"/>
      <c r="BC7" s="157"/>
      <c r="BD7" s="157"/>
      <c r="BE7" s="157"/>
      <c r="BF7" s="157"/>
      <c r="BG7" s="157"/>
      <c r="BH7" s="157"/>
      <c r="BI7" s="157"/>
      <c r="BJ7" s="157"/>
      <c r="BK7" s="157"/>
      <c r="BL7" s="157"/>
      <c r="BM7" s="157"/>
      <c r="BN7" s="157"/>
      <c r="BO7" s="157"/>
      <c r="BP7" s="158"/>
    </row>
    <row r="8" spans="1:69" ht="15.75" customHeight="1" x14ac:dyDescent="0.3">
      <c r="A8" s="38"/>
      <c r="B8" s="36"/>
      <c r="AS8" s="156"/>
      <c r="AT8" s="157"/>
      <c r="AU8" s="157"/>
      <c r="AV8" s="157"/>
      <c r="AW8" s="157"/>
      <c r="AX8" s="157"/>
      <c r="AY8" s="157"/>
      <c r="AZ8" s="157"/>
      <c r="BA8" s="157"/>
      <c r="BB8" s="157"/>
      <c r="BC8" s="157"/>
      <c r="BD8" s="157"/>
      <c r="BE8" s="157"/>
      <c r="BF8" s="157"/>
      <c r="BG8" s="157"/>
      <c r="BH8" s="157"/>
      <c r="BI8" s="157"/>
      <c r="BJ8" s="157"/>
      <c r="BK8" s="157"/>
      <c r="BL8" s="157"/>
      <c r="BM8" s="157"/>
      <c r="BN8" s="157"/>
      <c r="BO8" s="157"/>
      <c r="BP8" s="158"/>
    </row>
    <row r="9" spans="1:69" ht="18" x14ac:dyDescent="0.35">
      <c r="A9" s="39" t="s">
        <v>81</v>
      </c>
      <c r="C9" s="40"/>
      <c r="G9" s="42"/>
      <c r="H9" s="41"/>
      <c r="I9" s="41"/>
      <c r="J9" s="41"/>
      <c r="K9" s="41"/>
      <c r="L9" s="41"/>
      <c r="M9" s="41"/>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156"/>
      <c r="AT9" s="157"/>
      <c r="AU9" s="157"/>
      <c r="AV9" s="157"/>
      <c r="AW9" s="157"/>
      <c r="AX9" s="157"/>
      <c r="AY9" s="157"/>
      <c r="AZ9" s="157"/>
      <c r="BA9" s="157"/>
      <c r="BB9" s="157"/>
      <c r="BC9" s="157"/>
      <c r="BD9" s="157"/>
      <c r="BE9" s="157"/>
      <c r="BF9" s="157"/>
      <c r="BG9" s="157"/>
      <c r="BH9" s="157"/>
      <c r="BI9" s="157"/>
      <c r="BJ9" s="157"/>
      <c r="BK9" s="157"/>
      <c r="BL9" s="157"/>
      <c r="BM9" s="157"/>
      <c r="BN9" s="157"/>
      <c r="BO9" s="157"/>
      <c r="BP9" s="158"/>
      <c r="BQ9" s="42"/>
    </row>
    <row r="10" spans="1:69" ht="19.2" customHeight="1" x14ac:dyDescent="0.3">
      <c r="A10" s="97" t="s">
        <v>139</v>
      </c>
      <c r="B10" s="98">
        <v>0</v>
      </c>
      <c r="C10" s="99"/>
      <c r="D10" s="99"/>
      <c r="E10" s="99"/>
      <c r="F10" s="99"/>
      <c r="G10" s="99"/>
      <c r="H10" s="32"/>
      <c r="I10" s="43"/>
      <c r="J10" s="43"/>
      <c r="K10" s="43"/>
      <c r="L10" s="43"/>
      <c r="M10" s="43"/>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156"/>
      <c r="AT10" s="157"/>
      <c r="AU10" s="157"/>
      <c r="AV10" s="157"/>
      <c r="AW10" s="157"/>
      <c r="AX10" s="157"/>
      <c r="AY10" s="157"/>
      <c r="AZ10" s="157"/>
      <c r="BA10" s="157"/>
      <c r="BB10" s="157"/>
      <c r="BC10" s="157"/>
      <c r="BD10" s="157"/>
      <c r="BE10" s="157"/>
      <c r="BF10" s="157"/>
      <c r="BG10" s="157"/>
      <c r="BH10" s="157"/>
      <c r="BI10" s="157"/>
      <c r="BJ10" s="157"/>
      <c r="BK10" s="157"/>
      <c r="BL10" s="157"/>
      <c r="BM10" s="157"/>
      <c r="BN10" s="157"/>
      <c r="BO10" s="157"/>
      <c r="BP10" s="158"/>
      <c r="BQ10" s="42"/>
    </row>
    <row r="11" spans="1:69" ht="19.2" customHeight="1" x14ac:dyDescent="0.3">
      <c r="A11" s="100"/>
      <c r="B11" s="100"/>
      <c r="C11" s="100"/>
      <c r="D11" s="100"/>
      <c r="E11" s="100"/>
      <c r="F11" s="100"/>
      <c r="G11" s="100"/>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42"/>
      <c r="AS11" s="156"/>
      <c r="AT11" s="157"/>
      <c r="AU11" s="157"/>
      <c r="AV11" s="157"/>
      <c r="AW11" s="157"/>
      <c r="AX11" s="157"/>
      <c r="AY11" s="157"/>
      <c r="AZ11" s="157"/>
      <c r="BA11" s="157"/>
      <c r="BB11" s="157"/>
      <c r="BC11" s="157"/>
      <c r="BD11" s="157"/>
      <c r="BE11" s="157"/>
      <c r="BF11" s="157"/>
      <c r="BG11" s="157"/>
      <c r="BH11" s="157"/>
      <c r="BI11" s="157"/>
      <c r="BJ11" s="157"/>
      <c r="BK11" s="157"/>
      <c r="BL11" s="157"/>
      <c r="BM11" s="157"/>
      <c r="BN11" s="157"/>
      <c r="BO11" s="157"/>
      <c r="BP11" s="158"/>
      <c r="BQ11" s="42"/>
    </row>
    <row r="12" spans="1:69" ht="19.2" customHeight="1" x14ac:dyDescent="0.3">
      <c r="A12" s="101" t="s">
        <v>80</v>
      </c>
      <c r="B12" s="102" t="s">
        <v>79</v>
      </c>
      <c r="C12" s="103" t="s">
        <v>78</v>
      </c>
      <c r="D12" s="104" t="s">
        <v>83</v>
      </c>
      <c r="E12" s="105"/>
      <c r="F12" s="105"/>
      <c r="G12" s="99"/>
      <c r="J12" s="58"/>
      <c r="L12" s="58"/>
      <c r="M12" s="58"/>
      <c r="N12" s="58"/>
      <c r="O12" s="58"/>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156"/>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8"/>
      <c r="BQ12" s="42"/>
    </row>
    <row r="13" spans="1:69" ht="28.2" customHeight="1" x14ac:dyDescent="0.3">
      <c r="A13" s="129" t="s">
        <v>134</v>
      </c>
      <c r="B13" s="131">
        <v>44197</v>
      </c>
      <c r="C13" s="131">
        <v>44197</v>
      </c>
      <c r="D13" s="116">
        <f>C13-B13+1</f>
        <v>1</v>
      </c>
      <c r="E13" s="134"/>
      <c r="F13" s="105"/>
      <c r="G13" s="99"/>
      <c r="J13" s="58"/>
      <c r="L13" s="58"/>
      <c r="M13" s="58"/>
      <c r="N13" s="58"/>
      <c r="O13" s="58"/>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156"/>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8"/>
      <c r="BQ13" s="42"/>
    </row>
    <row r="14" spans="1:69" ht="28.95" customHeight="1" x14ac:dyDescent="0.3">
      <c r="A14" s="130" t="s">
        <v>135</v>
      </c>
      <c r="B14" s="131">
        <v>44562</v>
      </c>
      <c r="C14" s="132">
        <v>44562</v>
      </c>
      <c r="D14" s="116">
        <f>C14-B14+1</f>
        <v>1</v>
      </c>
      <c r="E14" s="134"/>
      <c r="F14" s="106"/>
      <c r="G14" s="99"/>
      <c r="J14" s="58"/>
      <c r="L14" s="58"/>
      <c r="M14" s="58"/>
      <c r="N14" s="58"/>
      <c r="O14" s="58"/>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156"/>
      <c r="AT14" s="157"/>
      <c r="AU14" s="157"/>
      <c r="AV14" s="157"/>
      <c r="AW14" s="157"/>
      <c r="AX14" s="157"/>
      <c r="AY14" s="157"/>
      <c r="AZ14" s="157"/>
      <c r="BA14" s="157"/>
      <c r="BB14" s="157"/>
      <c r="BC14" s="157"/>
      <c r="BD14" s="157"/>
      <c r="BE14" s="157"/>
      <c r="BF14" s="157"/>
      <c r="BG14" s="157"/>
      <c r="BH14" s="157"/>
      <c r="BI14" s="157"/>
      <c r="BJ14" s="157"/>
      <c r="BK14" s="157"/>
      <c r="BL14" s="157"/>
      <c r="BM14" s="157"/>
      <c r="BN14" s="157"/>
      <c r="BO14" s="157"/>
      <c r="BP14" s="158"/>
      <c r="BQ14" s="42"/>
    </row>
    <row r="15" spans="1:69" ht="19.2" customHeight="1" x14ac:dyDescent="0.3">
      <c r="A15" s="97" t="s">
        <v>104</v>
      </c>
      <c r="B15" s="107"/>
      <c r="C15" s="108"/>
      <c r="D15" s="109">
        <f>D13+D14</f>
        <v>2</v>
      </c>
      <c r="E15" s="110"/>
      <c r="F15" s="110"/>
      <c r="G15" s="99"/>
      <c r="H15" s="32"/>
      <c r="I15" s="32"/>
      <c r="J15" s="32"/>
      <c r="K15" s="32"/>
      <c r="L15" s="58"/>
      <c r="M15" s="58"/>
      <c r="N15" s="58"/>
      <c r="O15" s="58"/>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156"/>
      <c r="AT15" s="157"/>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8"/>
      <c r="BQ15" s="42"/>
    </row>
    <row r="16" spans="1:69" ht="19.2" customHeight="1" x14ac:dyDescent="0.3">
      <c r="A16" s="111"/>
      <c r="B16" s="111"/>
      <c r="C16" s="111"/>
      <c r="D16" s="111"/>
      <c r="E16" s="111"/>
      <c r="F16" s="111"/>
      <c r="G16" s="99"/>
      <c r="H16" s="43"/>
      <c r="I16" s="43"/>
      <c r="J16" s="43"/>
      <c r="K16" s="43"/>
      <c r="L16" s="43"/>
      <c r="M16" s="43"/>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156"/>
      <c r="AT16" s="157"/>
      <c r="AU16" s="157"/>
      <c r="AV16" s="157"/>
      <c r="AW16" s="157"/>
      <c r="AX16" s="157"/>
      <c r="AY16" s="157"/>
      <c r="AZ16" s="157"/>
      <c r="BA16" s="157"/>
      <c r="BB16" s="157"/>
      <c r="BC16" s="157"/>
      <c r="BD16" s="157"/>
      <c r="BE16" s="157"/>
      <c r="BF16" s="157"/>
      <c r="BG16" s="157"/>
      <c r="BH16" s="157"/>
      <c r="BI16" s="157"/>
      <c r="BJ16" s="157"/>
      <c r="BK16" s="157"/>
      <c r="BL16" s="157"/>
      <c r="BM16" s="157"/>
      <c r="BN16" s="157"/>
      <c r="BO16" s="157"/>
      <c r="BP16" s="158"/>
      <c r="BQ16" s="42"/>
    </row>
    <row r="17" spans="1:70" ht="19.2" customHeight="1" x14ac:dyDescent="0.3">
      <c r="A17" s="112" t="s">
        <v>76</v>
      </c>
      <c r="B17" s="113"/>
      <c r="C17" s="114" t="s">
        <v>136</v>
      </c>
      <c r="D17" s="111"/>
      <c r="E17" s="111"/>
      <c r="F17" s="111"/>
      <c r="G17" s="99"/>
      <c r="H17" s="43"/>
      <c r="I17" s="43"/>
      <c r="J17" s="43"/>
      <c r="K17" s="43"/>
      <c r="L17" s="43"/>
      <c r="M17" s="43"/>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156"/>
      <c r="AT17" s="157"/>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8"/>
      <c r="BQ17" s="42"/>
    </row>
    <row r="18" spans="1:70" ht="19.2" customHeight="1" x14ac:dyDescent="0.3">
      <c r="A18" s="115" t="s">
        <v>77</v>
      </c>
      <c r="B18" s="113"/>
      <c r="C18" s="116">
        <f>SUM(C27:C34)+SUM(D27:D34)</f>
        <v>0</v>
      </c>
      <c r="D18" s="111"/>
      <c r="E18" s="111"/>
      <c r="F18" s="111"/>
      <c r="G18" s="117"/>
      <c r="H18" s="43"/>
      <c r="I18" s="43"/>
      <c r="J18" s="43"/>
      <c r="K18" s="43"/>
      <c r="L18" s="43"/>
      <c r="M18" s="43"/>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156"/>
      <c r="AT18" s="157"/>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8"/>
      <c r="BQ18" s="42"/>
    </row>
    <row r="19" spans="1:70" ht="19.2" customHeight="1" thickBot="1" x14ac:dyDescent="0.35">
      <c r="A19" s="115" t="s">
        <v>75</v>
      </c>
      <c r="B19" s="113"/>
      <c r="C19" s="116">
        <f>SUM(B27:B34)</f>
        <v>0</v>
      </c>
      <c r="D19" s="118"/>
      <c r="E19" s="118"/>
      <c r="F19" s="118"/>
      <c r="G19" s="117"/>
      <c r="H19" s="43"/>
      <c r="I19" s="43"/>
      <c r="J19" s="43"/>
      <c r="K19" s="43"/>
      <c r="L19" s="43"/>
      <c r="M19" s="43"/>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0"/>
      <c r="AQ19" s="40"/>
      <c r="AR19" s="42"/>
      <c r="AS19" s="159"/>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1"/>
      <c r="BQ19" s="42"/>
    </row>
    <row r="20" spans="1:70" ht="33" customHeight="1" thickBot="1" x14ac:dyDescent="0.35">
      <c r="A20" s="151" t="s">
        <v>140</v>
      </c>
      <c r="B20" s="152"/>
      <c r="C20" s="119">
        <v>0</v>
      </c>
      <c r="D20" s="120" t="str">
        <f>IF(F21&lt;&gt;0, IF(F21&gt;0,"COMPILA le righe e completa l'inserimento in base al numero di moduli", "HAI COMPILATO TROPPE RIGHE in base al numero di moduli" ),"")</f>
        <v/>
      </c>
      <c r="E20" s="120"/>
      <c r="F20" s="121">
        <f>SUM(F27:F34)</f>
        <v>0</v>
      </c>
      <c r="G20" s="117"/>
      <c r="H20" s="44"/>
      <c r="I20" s="44"/>
      <c r="J20" s="44"/>
      <c r="K20" s="44"/>
      <c r="L20" s="43"/>
      <c r="M20" s="43"/>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row>
    <row r="21" spans="1:70" ht="15" customHeight="1" x14ac:dyDescent="0.3">
      <c r="A21" s="77"/>
      <c r="B21" s="42"/>
      <c r="F21" s="78">
        <f>IF(F20&gt;0,C20-F20,0)</f>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42"/>
      <c r="AT21" s="42"/>
      <c r="AU21" s="42"/>
      <c r="AV21" s="42"/>
      <c r="AW21" s="42"/>
      <c r="AX21" s="42"/>
      <c r="AY21" s="162" t="s">
        <v>137</v>
      </c>
      <c r="AZ21" s="163"/>
      <c r="BA21" s="163"/>
      <c r="BB21" s="163"/>
      <c r="BC21" s="163"/>
      <c r="BD21" s="163"/>
      <c r="BE21" s="163"/>
      <c r="BF21" s="163"/>
      <c r="BG21" s="163"/>
      <c r="BH21" s="163"/>
      <c r="BI21" s="163"/>
      <c r="BJ21" s="163"/>
      <c r="BK21" s="163"/>
      <c r="BL21" s="163"/>
      <c r="BM21" s="163"/>
      <c r="BN21" s="163"/>
      <c r="BO21" s="163"/>
      <c r="BP21" s="164"/>
      <c r="BQ21" s="42"/>
      <c r="BR21" s="83"/>
    </row>
    <row r="22" spans="1:70" ht="15" thickBot="1" x14ac:dyDescent="0.35">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9"/>
      <c r="AC22" s="79"/>
      <c r="AD22" s="79"/>
      <c r="AE22" s="79"/>
      <c r="AF22" s="79"/>
      <c r="AG22" s="79"/>
      <c r="AH22" s="79"/>
      <c r="AI22" s="79"/>
      <c r="AJ22" s="79"/>
      <c r="AK22" s="79"/>
      <c r="AL22" s="79"/>
      <c r="AM22" s="79"/>
      <c r="AN22" s="79"/>
      <c r="AO22" s="79"/>
      <c r="AP22" s="79"/>
      <c r="AQ22" s="79"/>
      <c r="AR22" s="79"/>
      <c r="AS22" s="40"/>
      <c r="AT22" s="42"/>
      <c r="AU22" s="42"/>
      <c r="AV22" s="42"/>
      <c r="AW22" s="42"/>
      <c r="AY22" s="165"/>
      <c r="AZ22" s="166"/>
      <c r="BA22" s="166"/>
      <c r="BB22" s="166"/>
      <c r="BC22" s="166"/>
      <c r="BD22" s="166"/>
      <c r="BE22" s="166"/>
      <c r="BF22" s="166"/>
      <c r="BG22" s="166"/>
      <c r="BH22" s="166"/>
      <c r="BI22" s="166"/>
      <c r="BJ22" s="166"/>
      <c r="BK22" s="166"/>
      <c r="BL22" s="166"/>
      <c r="BM22" s="166"/>
      <c r="BN22" s="166"/>
      <c r="BO22" s="166"/>
      <c r="BP22" s="167"/>
      <c r="BQ22" s="42"/>
      <c r="BR22" s="83"/>
    </row>
    <row r="23" spans="1:70" ht="15" thickBot="1" x14ac:dyDescent="0.35">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9"/>
      <c r="AC23" s="79"/>
      <c r="AD23" s="79"/>
      <c r="AE23" s="79"/>
      <c r="AF23" s="79"/>
      <c r="AG23" s="79"/>
      <c r="AH23" s="79"/>
      <c r="AI23" s="79"/>
      <c r="AJ23" s="79"/>
      <c r="AK23" s="79"/>
      <c r="AL23" s="79"/>
      <c r="AM23" s="79"/>
      <c r="AN23" s="79"/>
      <c r="AO23" s="79"/>
      <c r="AP23" s="79"/>
      <c r="AQ23" s="79"/>
      <c r="AR23" s="79"/>
      <c r="AS23" s="40"/>
      <c r="AT23" s="42"/>
      <c r="AU23" s="42"/>
      <c r="AV23" s="42"/>
      <c r="AW23" s="42"/>
      <c r="AY23" s="42"/>
      <c r="BA23" s="133"/>
      <c r="BB23" s="133"/>
      <c r="BC23" s="133"/>
      <c r="BD23" s="133"/>
      <c r="BE23" s="133"/>
      <c r="BF23" s="133"/>
      <c r="BG23" s="133"/>
      <c r="BH23" s="133"/>
      <c r="BI23" s="133"/>
      <c r="BJ23" s="133"/>
      <c r="BK23" s="133"/>
      <c r="BL23" s="133"/>
      <c r="BM23" s="133"/>
      <c r="BN23" s="133"/>
      <c r="BO23" s="133"/>
      <c r="BP23" s="133"/>
      <c r="BQ23" s="42"/>
      <c r="BR23" s="83"/>
    </row>
    <row r="24" spans="1:70" ht="18.600000000000001" thickBot="1" x14ac:dyDescent="0.4">
      <c r="A24" s="39" t="s">
        <v>125</v>
      </c>
      <c r="B24" s="42"/>
      <c r="C24" s="42"/>
      <c r="D24" s="42"/>
      <c r="E24" s="42"/>
      <c r="F24" s="42"/>
      <c r="H24" s="42"/>
      <c r="I24" s="42"/>
      <c r="J24" s="42"/>
      <c r="K24" s="42"/>
      <c r="L24" s="42"/>
      <c r="M24" s="42"/>
      <c r="R24" s="69"/>
      <c r="S24" s="69"/>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0"/>
      <c r="AU24" s="42"/>
      <c r="AV24" s="42"/>
      <c r="AW24" s="42"/>
      <c r="AX24" s="94"/>
      <c r="AY24" s="95"/>
      <c r="AZ24" s="94"/>
      <c r="BA24" s="96"/>
      <c r="BB24" s="94"/>
      <c r="BC24" s="95"/>
      <c r="BD24" s="94"/>
      <c r="BE24" s="95"/>
      <c r="BF24" s="95"/>
      <c r="BG24" s="95"/>
      <c r="BH24" s="95"/>
      <c r="BI24" s="95"/>
      <c r="BJ24" s="94"/>
      <c r="BK24" s="42"/>
      <c r="BL24" s="42"/>
      <c r="BM24" s="42"/>
      <c r="BN24" s="42"/>
      <c r="BO24" s="149" t="s">
        <v>126</v>
      </c>
      <c r="BP24" s="150"/>
      <c r="BQ24" s="42"/>
    </row>
    <row r="25" spans="1:70" x14ac:dyDescent="0.3">
      <c r="A25" s="138" t="s">
        <v>77</v>
      </c>
      <c r="B25" s="139">
        <f>SUM(B27:B34)</f>
        <v>0</v>
      </c>
      <c r="C25" s="122">
        <f>SUM(C27:C34)</f>
        <v>0</v>
      </c>
      <c r="D25" s="122">
        <f>SUM(D27:D34)</f>
        <v>0</v>
      </c>
      <c r="E25" s="123"/>
      <c r="F25" s="123"/>
      <c r="G25" s="124"/>
      <c r="H25" s="61"/>
      <c r="I25" s="61"/>
      <c r="J25" s="70">
        <v>1</v>
      </c>
      <c r="K25" s="70" t="s">
        <v>87</v>
      </c>
      <c r="L25" s="70">
        <v>2</v>
      </c>
      <c r="M25" s="70" t="s">
        <v>88</v>
      </c>
      <c r="N25" s="71">
        <v>3</v>
      </c>
      <c r="O25" s="71" t="s">
        <v>89</v>
      </c>
      <c r="P25" s="71">
        <v>4</v>
      </c>
      <c r="Q25" s="71" t="s">
        <v>90</v>
      </c>
      <c r="R25" s="71">
        <v>5</v>
      </c>
      <c r="S25" s="71" t="s">
        <v>91</v>
      </c>
      <c r="T25" s="71">
        <v>6</v>
      </c>
      <c r="U25" s="71" t="s">
        <v>92</v>
      </c>
      <c r="V25" s="70">
        <v>7</v>
      </c>
      <c r="W25" s="62" t="s">
        <v>93</v>
      </c>
      <c r="X25" s="63">
        <v>8</v>
      </c>
      <c r="Y25" s="63" t="s">
        <v>94</v>
      </c>
      <c r="Z25" s="63">
        <v>9</v>
      </c>
      <c r="AA25" s="63" t="s">
        <v>95</v>
      </c>
      <c r="AB25" s="63">
        <v>10</v>
      </c>
      <c r="AC25" s="63" t="s">
        <v>96</v>
      </c>
      <c r="AD25" s="63">
        <v>11</v>
      </c>
      <c r="AE25" s="63" t="s">
        <v>97</v>
      </c>
      <c r="AF25" s="63">
        <v>12</v>
      </c>
      <c r="AG25" s="63" t="s">
        <v>98</v>
      </c>
      <c r="AH25" s="63">
        <v>13</v>
      </c>
      <c r="AI25" s="63" t="s">
        <v>99</v>
      </c>
      <c r="AJ25" s="63">
        <v>14</v>
      </c>
      <c r="AK25" s="63" t="s">
        <v>100</v>
      </c>
      <c r="AL25" s="63">
        <v>15</v>
      </c>
      <c r="AM25" s="64" t="s">
        <v>101</v>
      </c>
      <c r="AN25" s="63">
        <v>16</v>
      </c>
      <c r="AO25" s="63" t="s">
        <v>102</v>
      </c>
      <c r="AP25" s="63">
        <v>17</v>
      </c>
      <c r="AQ25" s="61" t="s">
        <v>103</v>
      </c>
      <c r="AR25" s="67"/>
      <c r="AS25" s="67"/>
      <c r="AT25" s="125"/>
      <c r="AU25" s="125"/>
      <c r="AV25" s="125"/>
      <c r="AW25" s="125"/>
      <c r="AX25" s="125"/>
      <c r="AY25" s="125"/>
      <c r="AZ25" s="125"/>
      <c r="BA25" s="124"/>
      <c r="BB25" s="124"/>
      <c r="BC25" s="124"/>
      <c r="BD25" s="124"/>
      <c r="BE25" s="124"/>
      <c r="BF25" s="124"/>
      <c r="BG25" s="124"/>
      <c r="BH25" s="124"/>
      <c r="BI25" s="85"/>
      <c r="BJ25" s="124"/>
      <c r="BK25" s="85"/>
      <c r="BL25" s="85"/>
      <c r="BM25" s="85"/>
      <c r="BN25" s="85"/>
      <c r="BO25" s="126">
        <f>SUM(BO27:BO34)</f>
        <v>0</v>
      </c>
      <c r="BP25" s="127">
        <f>SUM(BP27:BP34)</f>
        <v>0</v>
      </c>
      <c r="BQ25" s="42"/>
    </row>
    <row r="26" spans="1:70" s="55" customFormat="1" ht="72.599999999999994" thickBot="1" x14ac:dyDescent="0.35">
      <c r="A26" s="80" t="s">
        <v>127</v>
      </c>
      <c r="B26" s="81" t="s">
        <v>128</v>
      </c>
      <c r="C26" s="66" t="s">
        <v>132</v>
      </c>
      <c r="D26" s="65" t="s">
        <v>133</v>
      </c>
      <c r="E26" s="65" t="s">
        <v>142</v>
      </c>
      <c r="F26" s="65"/>
      <c r="G26" s="81" t="s">
        <v>111</v>
      </c>
      <c r="H26" s="45" t="s">
        <v>36</v>
      </c>
      <c r="I26" s="45" t="s">
        <v>105</v>
      </c>
      <c r="J26" s="45" t="s">
        <v>84</v>
      </c>
      <c r="K26" s="45" t="s">
        <v>86</v>
      </c>
      <c r="L26" s="45" t="s">
        <v>85</v>
      </c>
      <c r="M26" s="45" t="s">
        <v>85</v>
      </c>
      <c r="N26" s="46" t="s">
        <v>22</v>
      </c>
      <c r="O26" s="46" t="s">
        <v>22</v>
      </c>
      <c r="P26" s="46" t="s">
        <v>23</v>
      </c>
      <c r="Q26" s="46" t="s">
        <v>23</v>
      </c>
      <c r="R26" s="46" t="s">
        <v>24</v>
      </c>
      <c r="S26" s="46" t="s">
        <v>24</v>
      </c>
      <c r="T26" s="47" t="s">
        <v>22</v>
      </c>
      <c r="U26" s="47" t="s">
        <v>22</v>
      </c>
      <c r="V26" s="47" t="s">
        <v>23</v>
      </c>
      <c r="W26" s="47" t="s">
        <v>23</v>
      </c>
      <c r="X26" s="47" t="s">
        <v>24</v>
      </c>
      <c r="Y26" s="47" t="s">
        <v>24</v>
      </c>
      <c r="Z26" s="48" t="s">
        <v>22</v>
      </c>
      <c r="AA26" s="48" t="s">
        <v>22</v>
      </c>
      <c r="AB26" s="48" t="s">
        <v>23</v>
      </c>
      <c r="AC26" s="48" t="s">
        <v>23</v>
      </c>
      <c r="AD26" s="48" t="s">
        <v>24</v>
      </c>
      <c r="AE26" s="48" t="s">
        <v>24</v>
      </c>
      <c r="AF26" s="49" t="s">
        <v>22</v>
      </c>
      <c r="AG26" s="49" t="s">
        <v>22</v>
      </c>
      <c r="AH26" s="49" t="s">
        <v>23</v>
      </c>
      <c r="AI26" s="49" t="s">
        <v>23</v>
      </c>
      <c r="AJ26" s="49" t="s">
        <v>24</v>
      </c>
      <c r="AK26" s="49" t="s">
        <v>24</v>
      </c>
      <c r="AL26" s="50" t="s">
        <v>22</v>
      </c>
      <c r="AM26" s="50" t="s">
        <v>22</v>
      </c>
      <c r="AN26" s="50" t="s">
        <v>23</v>
      </c>
      <c r="AO26" s="50" t="s">
        <v>23</v>
      </c>
      <c r="AP26" s="50" t="s">
        <v>24</v>
      </c>
      <c r="AQ26" s="50" t="s">
        <v>24</v>
      </c>
      <c r="AR26" s="48" t="s">
        <v>119</v>
      </c>
      <c r="AS26" s="48" t="s">
        <v>120</v>
      </c>
      <c r="AT26" s="48" t="s">
        <v>129</v>
      </c>
      <c r="AU26" s="48" t="s">
        <v>130</v>
      </c>
      <c r="AV26" s="48" t="s">
        <v>131</v>
      </c>
      <c r="AW26" s="48" t="s">
        <v>118</v>
      </c>
      <c r="AX26" s="48" t="s">
        <v>82</v>
      </c>
      <c r="AY26" s="48" t="s">
        <v>121</v>
      </c>
      <c r="AZ26" s="60" t="s">
        <v>70</v>
      </c>
      <c r="BA26" s="60" t="s">
        <v>122</v>
      </c>
      <c r="BB26" s="60" t="s">
        <v>74</v>
      </c>
      <c r="BC26" s="84" t="s">
        <v>138</v>
      </c>
      <c r="BD26" s="89" t="s">
        <v>72</v>
      </c>
      <c r="BE26" s="90" t="s">
        <v>112</v>
      </c>
      <c r="BF26" s="90" t="s">
        <v>113</v>
      </c>
      <c r="BG26" s="90" t="s">
        <v>106</v>
      </c>
      <c r="BH26" s="90" t="s">
        <v>107</v>
      </c>
      <c r="BI26" s="89" t="s">
        <v>123</v>
      </c>
      <c r="BJ26" s="89" t="s">
        <v>71</v>
      </c>
      <c r="BK26" s="89" t="s">
        <v>114</v>
      </c>
      <c r="BL26" s="89" t="s">
        <v>115</v>
      </c>
      <c r="BM26" s="89" t="s">
        <v>116</v>
      </c>
      <c r="BN26" s="91" t="s">
        <v>117</v>
      </c>
      <c r="BO26" s="92" t="s">
        <v>124</v>
      </c>
      <c r="BP26" s="93" t="s">
        <v>73</v>
      </c>
      <c r="BQ26" s="54"/>
    </row>
    <row r="27" spans="1:70" x14ac:dyDescent="0.3">
      <c r="A27" s="76" t="s">
        <v>109</v>
      </c>
      <c r="B27" s="53">
        <v>0</v>
      </c>
      <c r="C27" s="53">
        <v>0</v>
      </c>
      <c r="D27" s="53">
        <v>0</v>
      </c>
      <c r="E27" s="53">
        <f>IF(B27&lt;4,4,B27)</f>
        <v>4</v>
      </c>
      <c r="F27" s="53">
        <f>IF(I27&lt;&gt;0,1,0)</f>
        <v>0</v>
      </c>
      <c r="G27" s="59" t="s">
        <v>6</v>
      </c>
      <c r="H27" s="73">
        <f>C27+D27</f>
        <v>0</v>
      </c>
      <c r="I27" s="73">
        <f>IF(B27&gt;0,H27+B27,H27)</f>
        <v>0</v>
      </c>
      <c r="J27" s="74">
        <f>IF(B27&lt;&gt;0,C27/B27,C27)</f>
        <v>0</v>
      </c>
      <c r="K27" s="74">
        <f t="shared" ref="K27:K34" si="0">IF(B27&lt;&gt;0,IF(B27&gt;=4,D27/B27, D27/4),D27)</f>
        <v>0</v>
      </c>
      <c r="L27" s="75">
        <f>J27/$D$14</f>
        <v>0</v>
      </c>
      <c r="M27" s="75">
        <f t="shared" ref="M27" si="1">K27/$D$13</f>
        <v>0</v>
      </c>
      <c r="N27" s="128">
        <f>IF(L27&lt;'Motore 2022'!$H$28,Ripartizione!L27,'Motore 2022'!$H$28)</f>
        <v>0</v>
      </c>
      <c r="O27" s="128">
        <f>IF(M27&lt;'Motore 2021'!$H$28,Ripartizione!M27,'Motore 2021'!$H$28)</f>
        <v>0</v>
      </c>
      <c r="P27" s="128">
        <f t="shared" ref="P27" si="2">N27*$D$14</f>
        <v>0</v>
      </c>
      <c r="Q27" s="128">
        <f t="shared" ref="Q27" si="3">O27*$D$13</f>
        <v>0</v>
      </c>
      <c r="R27" s="128">
        <f>ROUND(P27*'Motore 2022'!$E$28,2)</f>
        <v>0</v>
      </c>
      <c r="S27" s="128">
        <f>ROUND(Q27*'Motore 2021'!$E$28,2)</f>
        <v>0</v>
      </c>
      <c r="T27" s="128">
        <f>IF((L27-N27)&lt;'Motore 2022'!$H$29,(L27-N27),'Motore 2022'!$H$29)</f>
        <v>0</v>
      </c>
      <c r="U27" s="128">
        <f>IF((M27-O27)&lt;'Motore 2021'!$H$29,(M27-O27),'Motore 2021'!$H$29)</f>
        <v>0</v>
      </c>
      <c r="V27" s="128">
        <f t="shared" ref="V27" si="4">T27*$D$14</f>
        <v>0</v>
      </c>
      <c r="W27" s="128">
        <f t="shared" ref="W27" si="5">U27*$D$13</f>
        <v>0</v>
      </c>
      <c r="X27" s="128">
        <f>ROUND(V27*'Motore 2022'!$E$29,2)</f>
        <v>0</v>
      </c>
      <c r="Y27" s="128">
        <f>ROUND(W27*'Motore 2021'!$E$29,2)</f>
        <v>0</v>
      </c>
      <c r="Z27" s="128">
        <f>IF(L27-N27-T27&lt;'Motore 2022'!$H$30,(Ripartizione!L27-Ripartizione!N27-Ripartizione!T27),'Motore 2022'!$H$30)</f>
        <v>0</v>
      </c>
      <c r="AA27" s="128">
        <f>IF(M27-O27-U27&lt;'Motore 2021'!$H$30,(Ripartizione!M27-Ripartizione!O27-Ripartizione!U27),'Motore 2021'!$H$30)</f>
        <v>0</v>
      </c>
      <c r="AB27" s="128">
        <f t="shared" ref="AB27" si="6">Z27*$D$14</f>
        <v>0</v>
      </c>
      <c r="AC27" s="128">
        <f t="shared" ref="AC27" si="7">AA27*$D$13</f>
        <v>0</v>
      </c>
      <c r="AD27" s="128">
        <f>ROUND(AB27*'Motore 2022'!$E$30,2)</f>
        <v>0</v>
      </c>
      <c r="AE27" s="128">
        <f>ROUND(AC27*'Motore 2021'!$E$30,2)</f>
        <v>0</v>
      </c>
      <c r="AF27" s="128">
        <f>IF((L27-N27-T27-Z27)&lt;'Motore 2022'!$H$31, (L27-N27-T27-Z27),'Motore 2022'!$H$31)</f>
        <v>0</v>
      </c>
      <c r="AG27" s="128">
        <f>IF((M27-O27-U27-AA27)&lt;'Motore 2021'!$H$31, (M27-O27-U27-AA27),'Motore 2021'!$H$31)</f>
        <v>0</v>
      </c>
      <c r="AH27" s="128">
        <f>AF27*$D$14</f>
        <v>0</v>
      </c>
      <c r="AI27" s="128">
        <f t="shared" ref="AI27" si="8">AG27*$D$13</f>
        <v>0</v>
      </c>
      <c r="AJ27" s="128">
        <f>ROUND(AH27*'Motore 2022'!$E$31,2)</f>
        <v>0</v>
      </c>
      <c r="AK27" s="128">
        <f>ROUND(AI27*'Motore 2021'!$E$31,2)</f>
        <v>0</v>
      </c>
      <c r="AL27" s="128">
        <f>(L27-N27-T27-Z27-AF27)</f>
        <v>0</v>
      </c>
      <c r="AM27" s="128">
        <f>(M27-O27-U27-AA27-AG27)</f>
        <v>0</v>
      </c>
      <c r="AN27" s="128">
        <f>AL27*$D$14</f>
        <v>0</v>
      </c>
      <c r="AO27" s="128">
        <f t="shared" ref="AO27" si="9">AM27*$D$13</f>
        <v>0</v>
      </c>
      <c r="AP27" s="128">
        <f>ROUND(AN27*'Motore 2022'!$E$32,2)</f>
        <v>0</v>
      </c>
      <c r="AQ27" s="128">
        <f>ROUND(AO27*'Motore 2021'!$E$32,2)</f>
        <v>0</v>
      </c>
      <c r="AR27" s="51">
        <f>IF(B27&lt;&gt;0,((R27*B27)+(S27*E27)),R27+S27)</f>
        <v>0</v>
      </c>
      <c r="AS27" s="51">
        <f>IF(B27&lt;&gt;0,((B27*X27)+(E27*Y27)), X27+Y27)</f>
        <v>0</v>
      </c>
      <c r="AT27" s="51">
        <f>IF(B27&lt;&gt;0,((AD27*B27)+(AE27*E27)),AD27+AE27)</f>
        <v>0</v>
      </c>
      <c r="AU27" s="51">
        <f>IF(B27&lt;&gt;0,((B27*AJ27)+(E27*AK27)), AJ27+AK27)</f>
        <v>0</v>
      </c>
      <c r="AV27" s="51">
        <f t="shared" ref="AV27" si="10">IF(B27&lt;&gt;0,((B27*AP27)+(E27*AQ27)), AP27+AQ27)</f>
        <v>0</v>
      </c>
      <c r="AW27" s="51">
        <f>SUM(AR27:AV27)</f>
        <v>0</v>
      </c>
      <c r="AX27" s="51">
        <f>SUM(AR27:AV27)+(SUM(AR27:AV27)*10%)</f>
        <v>0</v>
      </c>
      <c r="AY27" s="51">
        <f>IF($C$17="SI",((C27*'Motore 2022'!$B$35) + (D27*'Motore 2021'!$B$35)),0)</f>
        <v>0</v>
      </c>
      <c r="AZ27" s="52">
        <f>IF($C$17="SI",((C27*'Motore 2022'!$B$35)+(C27*'Motore 2022'!$B$35)*10% + (D27*'Motore 2022'!$B$35)+(D27*'Motore 2022'!$B$35)*10%),0)</f>
        <v>0</v>
      </c>
      <c r="BA27" s="82">
        <f>IF($C$17="SI",(((C27*'Motore 2022'!$B$38))+((D27*'Motore 2021'!$B$38))),0)</f>
        <v>0</v>
      </c>
      <c r="BB27" s="52">
        <f>IF($C$17="SI",(((C27*'Motore 2022'!$B$38)+((C27*'Motore 2022'!$B$38)*10%))+((D27*'Motore 2022'!$B$38)+((D27*'Motore 2022'!$B$38)*10%))),0)</f>
        <v>0</v>
      </c>
      <c r="BC27" s="52">
        <f>BE27+BF27</f>
        <v>0</v>
      </c>
      <c r="BD27" s="86">
        <f>BG27+BH27</f>
        <v>0</v>
      </c>
      <c r="BE27" s="86">
        <f>IF($C$17="SI",(C27*3*('Motore 2022'!$B$42+'Motore 2022'!$B$43+'Motore 2022'!$B$44)),(C27*1*('Motore 2022'!$B$41+'Motore 2022'!$B$42+'Motore 2022'!$B$43+'Motore 2022'!$B$44)))</f>
        <v>0</v>
      </c>
      <c r="BF27" s="87">
        <f>IF($C$17="SI",(D27*3*('Motore 2021'!$B$42+'Motore 2021'!$B$44)),(D27*1*('Motore 2021'!$B$41+'Motore 2021'!$B$42+'Motore 2021'!$D$43+'Motore 2021'!$B$44)))</f>
        <v>0</v>
      </c>
      <c r="BG27" s="86">
        <f>IF($C$17="SI",(C27*3*('Motore 2022'!$B$41+'Motore 2022'!$B$42+'Motore 2022'!$B$43+'Motore 2022'!$B$44))+((C27*3*('Motore 2022'!$B$41+'Motore 2022'!$B$42+'Motore 2022'!$B$43+'Motore 2022'!$B$44))*10%),(C27*1*('Motore 2022'!$B$41+'Motore 2022'!$B$42+'Motore 2022'!$B$43+'Motore 2022'!$B$44))+((C27*1*('Motore 2022'!$B$41+'Motore 2022'!$B$42+'Motore 2022'!$B$43+'Motore 2022'!$B$44))*10%))</f>
        <v>0</v>
      </c>
      <c r="BH27" s="86">
        <f>IF($C$17="SI",(D27*3*('Motore 2022'!$B$41+'Motore 2022'!$B$42+'Motore 2022'!$B$43+'Motore 2022'!$B$44))+((D27*3*('Motore 2022'!$B$41+'Motore 2022'!$B$42+'Motore 2022'!$B$43+'Motore 2022'!$B$44))*10%),(D27*1*('Motore 2022'!$B$41+'Motore 2022'!$B$42+'Motore 2022'!$B$43+'Motore 2022'!$B$44))+((D27*1*('Motore 2022'!$B$41+'Motore 2022'!$B$42+'Motore 2022'!$B$43+'Motore 2022'!$B$44))*10%))</f>
        <v>0</v>
      </c>
      <c r="BI27" s="86">
        <f>BM27+BN27</f>
        <v>0</v>
      </c>
      <c r="BJ27" s="86">
        <f>BK27+BL27</f>
        <v>0</v>
      </c>
      <c r="BK27" s="86">
        <f>IF(I27&lt;&gt;0,IF($C$17="SI",((('Motore 2022'!$B$47+'Motore 2022'!$B$50+'Motore 2022'!$B$53)/365)*$D$14)+(((('Motore 2022'!$B$47+'Motore 2022'!$B$50+'Motore 2021'!$B$53)/365)*$D$14)*10%),(('Motore 2022'!$B$53/365)*$D$14)+(('Motore 2022'!$B$53/365)*$D$14)*10%),0)</f>
        <v>0</v>
      </c>
      <c r="BL27" s="86">
        <f>IF(I27&lt;&gt;0,IF($C$17="SI",((('Motore 2021'!$B$47+'Motore 2021'!$B$50+'Motore 2021'!$B$53)/365)*$D$13)+(((('Motore 2021'!$B$47+'Motore 2021'!$B$50+'Motore 2021'!$B$53)/365)*$D$13)*10%),(('Motore 2021'!$B$53/365)*$D$13)+(('Motore 2021'!$B$53/365)*$D$13)*10%),0)</f>
        <v>0</v>
      </c>
      <c r="BM27" s="86">
        <f>IF(I27&lt;&gt;0,IF($C$17="SI",((('Motore 2022'!$B$47+'Motore 2022'!$B$50+'Motore 2022'!$B$53)/365)*$D$14),(('Motore 2022'!$B$53/365)*$D$14)),0)</f>
        <v>0</v>
      </c>
      <c r="BN27" s="86">
        <f>IF(I27&lt;&gt;0,IF($C$17="SI",((('Motore 2021'!$B$47+'Motore 2021'!$B$50+'Motore 2021'!$B$53)/365)*$D$13),(('Motore 2021'!$B$53/365)*$D$13)),0)</f>
        <v>0</v>
      </c>
      <c r="BO27" s="86">
        <f>AW27+AY27+BA27+BC27+BI27</f>
        <v>0</v>
      </c>
      <c r="BP27" s="88">
        <f>AX27+AZ27+BB27+BD27+BJ27</f>
        <v>0</v>
      </c>
      <c r="BQ27" s="42"/>
    </row>
    <row r="28" spans="1:70" x14ac:dyDescent="0.3">
      <c r="A28" s="76" t="s">
        <v>110</v>
      </c>
      <c r="B28" s="53">
        <v>0</v>
      </c>
      <c r="C28" s="53">
        <v>0</v>
      </c>
      <c r="D28" s="53">
        <v>0</v>
      </c>
      <c r="E28" s="53">
        <f t="shared" ref="E28:E34" si="11">IF(B28&lt;4,4,B28)</f>
        <v>4</v>
      </c>
      <c r="F28" s="53">
        <f t="shared" ref="F28:F34" si="12">IF(I28&lt;&gt;0,1,0)</f>
        <v>0</v>
      </c>
      <c r="G28" s="59" t="s">
        <v>6</v>
      </c>
      <c r="H28" s="73">
        <f t="shared" ref="H28:H34" si="13">C28+D28</f>
        <v>0</v>
      </c>
      <c r="I28" s="73">
        <f t="shared" ref="I28:I34" si="14">IF(B28&gt;0,H28+B28,H28)</f>
        <v>0</v>
      </c>
      <c r="J28" s="74">
        <f t="shared" ref="J28:J34" si="15">IF(B28&lt;&gt;0,C28/B28,C28)</f>
        <v>0</v>
      </c>
      <c r="K28" s="74">
        <f t="shared" si="0"/>
        <v>0</v>
      </c>
      <c r="L28" s="75">
        <f t="shared" ref="L28:L34" si="16">J28/$D$14</f>
        <v>0</v>
      </c>
      <c r="M28" s="75">
        <f t="shared" ref="M28:M34" si="17">K28/$D$13</f>
        <v>0</v>
      </c>
      <c r="N28" s="128">
        <f>IF(L28&lt;'Motore 2022'!$H$28,Ripartizione!L28,'Motore 2022'!$H$28)</f>
        <v>0</v>
      </c>
      <c r="O28" s="128">
        <f>IF(M28&lt;'Motore 2021'!$H$28,Ripartizione!M28,'Motore 2021'!$H$28)</f>
        <v>0</v>
      </c>
      <c r="P28" s="128">
        <f t="shared" ref="P28:P34" si="18">N28*$D$14</f>
        <v>0</v>
      </c>
      <c r="Q28" s="128">
        <f t="shared" ref="Q28:Q34" si="19">O28*$D$13</f>
        <v>0</v>
      </c>
      <c r="R28" s="128">
        <f>ROUND(P28*'Motore 2022'!$E$28,2)</f>
        <v>0</v>
      </c>
      <c r="S28" s="128">
        <f>ROUND(Q28*'Motore 2021'!$E$28,2)</f>
        <v>0</v>
      </c>
      <c r="T28" s="128">
        <f>IF((L28-N28)&lt;'Motore 2022'!$H$29,(L28-N28),'Motore 2022'!$H$29)</f>
        <v>0</v>
      </c>
      <c r="U28" s="128">
        <f>IF((M28-O28)&lt;'Motore 2021'!$H$29,(M28-O28),'Motore 2021'!$H$29)</f>
        <v>0</v>
      </c>
      <c r="V28" s="128">
        <f t="shared" ref="V28:V34" si="20">T28*$D$14</f>
        <v>0</v>
      </c>
      <c r="W28" s="128">
        <f t="shared" ref="W28:W34" si="21">U28*$D$13</f>
        <v>0</v>
      </c>
      <c r="X28" s="128">
        <f>ROUND(V28*'Motore 2022'!$E$29,2)</f>
        <v>0</v>
      </c>
      <c r="Y28" s="128">
        <f>ROUND(W28*'Motore 2021'!$E$29,2)</f>
        <v>0</v>
      </c>
      <c r="Z28" s="128">
        <f>IF(L28-N28-T28&lt;'Motore 2022'!$H$30,(Ripartizione!L28-Ripartizione!N28-Ripartizione!T28),'Motore 2022'!$H$30)</f>
        <v>0</v>
      </c>
      <c r="AA28" s="128">
        <f>IF(M28-O28-U28&lt;'Motore 2021'!$H$30,(Ripartizione!M28-Ripartizione!O28-Ripartizione!U28),'Motore 2021'!$H$30)</f>
        <v>0</v>
      </c>
      <c r="AB28" s="128">
        <f t="shared" ref="AB28:AB34" si="22">Z28*$D$14</f>
        <v>0</v>
      </c>
      <c r="AC28" s="128">
        <f t="shared" ref="AC28:AC34" si="23">AA28*$D$13</f>
        <v>0</v>
      </c>
      <c r="AD28" s="128">
        <f>ROUND(AB28*'Motore 2022'!$E$30,2)</f>
        <v>0</v>
      </c>
      <c r="AE28" s="128">
        <f>ROUND(AC28*'Motore 2021'!$E$30,2)</f>
        <v>0</v>
      </c>
      <c r="AF28" s="128">
        <f>IF((L28-N28-T28-Z28)&lt;'Motore 2022'!$H$31, (L28-N28-T28-Z28),'Motore 2022'!$H$31)</f>
        <v>0</v>
      </c>
      <c r="AG28" s="128">
        <f>IF((M28-O28-U28-AA28)&lt;'Motore 2021'!$H$31, (M28-O28-U28-AA28),'Motore 2021'!$H$31)</f>
        <v>0</v>
      </c>
      <c r="AH28" s="128">
        <f t="shared" ref="AH28:AH34" si="24">AF28*$D$14</f>
        <v>0</v>
      </c>
      <c r="AI28" s="128">
        <f t="shared" ref="AI28:AI34" si="25">AG28*$D$13</f>
        <v>0</v>
      </c>
      <c r="AJ28" s="128">
        <f>ROUND(AH28*'Motore 2022'!$E$31,2)</f>
        <v>0</v>
      </c>
      <c r="AK28" s="128">
        <f>ROUND(AI28*'Motore 2021'!$E$31,2)</f>
        <v>0</v>
      </c>
      <c r="AL28" s="128">
        <f t="shared" ref="AL28:AL34" si="26">(L28-N28-T28-Z28-AF28)</f>
        <v>0</v>
      </c>
      <c r="AM28" s="128">
        <f t="shared" ref="AM28:AM34" si="27">(M28-O28-U28-AA28-AG28)</f>
        <v>0</v>
      </c>
      <c r="AN28" s="128">
        <f t="shared" ref="AN28:AN34" si="28">AL28*$D$14</f>
        <v>0</v>
      </c>
      <c r="AO28" s="128">
        <f t="shared" ref="AO28:AO34" si="29">AM28*$D$13</f>
        <v>0</v>
      </c>
      <c r="AP28" s="128">
        <f>ROUND(AN28*'Motore 2022'!$E$32,2)</f>
        <v>0</v>
      </c>
      <c r="AQ28" s="128">
        <f>ROUND(AO28*'Motore 2021'!$E$32,2)</f>
        <v>0</v>
      </c>
      <c r="AR28" s="51">
        <f t="shared" ref="AR28:AR34" si="30">IF(B28&lt;&gt;0,((R28*B28)+(S28*E28)),R28+S28)</f>
        <v>0</v>
      </c>
      <c r="AS28" s="51">
        <f t="shared" ref="AS28:AS34" si="31">IF(B28&lt;&gt;0,((B28*X28)+(E28*Y28)), X28+Y28)</f>
        <v>0</v>
      </c>
      <c r="AT28" s="51">
        <f t="shared" ref="AT28:AT34" si="32">IF(B28&lt;&gt;0,((AD28*B28)+(AE28*E28)),AD28+AE28)</f>
        <v>0</v>
      </c>
      <c r="AU28" s="51">
        <f t="shared" ref="AU28:AU34" si="33">IF(B28&lt;&gt;0,((B28*AJ28)+(E28*AK28)), AJ28+AK28)</f>
        <v>0</v>
      </c>
      <c r="AV28" s="51">
        <f t="shared" ref="AV28:AV34" si="34">IF(B28&lt;&gt;0,((B28*AP28)+(E28*AQ28)), AP28+AQ28)</f>
        <v>0</v>
      </c>
      <c r="AW28" s="51">
        <f t="shared" ref="AW28:AW34" si="35">SUM(AR28:AV28)</f>
        <v>0</v>
      </c>
      <c r="AX28" s="51">
        <f t="shared" ref="AX28:AX34" si="36">SUM(AR28:AV28)+(SUM(AR28:AV28)*10%)</f>
        <v>0</v>
      </c>
      <c r="AY28" s="51">
        <f>IF($C$17="SI",((C28*'Motore 2022'!$B$35) + (D28*'Motore 2021'!$B$35)),0)</f>
        <v>0</v>
      </c>
      <c r="AZ28" s="52">
        <f>IF($C$17="SI",((C28*'Motore 2022'!$B$35)+(C28*'Motore 2022'!$B$35)*10% + (D28*'Motore 2022'!$B$35)+(D28*'Motore 2022'!$B$35)*10%),0)</f>
        <v>0</v>
      </c>
      <c r="BA28" s="82">
        <f>IF($C$17="SI",(((C28*'Motore 2022'!$B$38))+((D28*'Motore 2021'!$B$38))),0)</f>
        <v>0</v>
      </c>
      <c r="BB28" s="52">
        <f>IF($C$17="SI",(((C28*'Motore 2022'!$B$38)+((C28*'Motore 2022'!$B$38)*10%))+((D28*'Motore 2022'!$B$38)+((D28*'Motore 2022'!$B$38)*10%))),0)</f>
        <v>0</v>
      </c>
      <c r="BC28" s="52">
        <f t="shared" ref="BC28:BC34" si="37">BE28+BF28</f>
        <v>0</v>
      </c>
      <c r="BD28" s="86">
        <f t="shared" ref="BD28:BD34" si="38">BG28+BH28</f>
        <v>0</v>
      </c>
      <c r="BE28" s="86">
        <f>IF($C$17="SI",(C28*3*('Motore 2022'!$B$42+'Motore 2022'!$B$43+'Motore 2022'!$B$44)),(C28*1*('Motore 2022'!$B$41+'Motore 2022'!$B$42+'Motore 2022'!$B$43+'Motore 2022'!$B$44)))</f>
        <v>0</v>
      </c>
      <c r="BF28" s="87">
        <f>IF($C$17="SI",(D28*3*('Motore 2021'!$B$42+'Motore 2021'!$B$44)),(D28*1*('Motore 2021'!$B$41+'Motore 2021'!$B$42+'Motore 2021'!$D$43+'Motore 2021'!$B$44)))</f>
        <v>0</v>
      </c>
      <c r="BG28" s="86">
        <f>IF($C$17="SI",(C28*3*('Motore 2022'!$B$41+'Motore 2022'!$B$42+'Motore 2022'!$B$43+'Motore 2022'!$B$44))+((C28*3*('Motore 2022'!$B$41+'Motore 2022'!$B$42+'Motore 2022'!$B$43+'Motore 2022'!$B$44))*10%),(C28*1*('Motore 2022'!$B$41+'Motore 2022'!$B$42+'Motore 2022'!$B$43+'Motore 2022'!$B$44))+((C28*1*('Motore 2022'!$B$41+'Motore 2022'!$B$42+'Motore 2022'!$B$43+'Motore 2022'!$B$44))*10%))</f>
        <v>0</v>
      </c>
      <c r="BH28" s="86">
        <f>IF($C$17="SI",(D28*3*('Motore 2022'!$B$41+'Motore 2022'!$B$42+'Motore 2022'!$B$43+'Motore 2022'!$B$44))+((D28*3*('Motore 2022'!$B$41+'Motore 2022'!$B$42+'Motore 2022'!$B$43+'Motore 2022'!$B$44))*10%),(D28*1*('Motore 2022'!$B$41+'Motore 2022'!$B$42+'Motore 2022'!$B$43+'Motore 2022'!$B$44))+((D28*1*('Motore 2022'!$B$41+'Motore 2022'!$B$42+'Motore 2022'!$B$43+'Motore 2022'!$B$44))*10%))</f>
        <v>0</v>
      </c>
      <c r="BI28" s="86">
        <f t="shared" ref="BI28:BI34" si="39">BM28+BN28</f>
        <v>0</v>
      </c>
      <c r="BJ28" s="86">
        <f t="shared" ref="BJ28:BJ34" si="40">BK28+BL28</f>
        <v>0</v>
      </c>
      <c r="BK28" s="86">
        <f>IF(I28&lt;&gt;0,IF($C$17="SI",((('Motore 2022'!$B$47+'Motore 2022'!$B$50+'Motore 2022'!$B$53)/365)*$D$14)+(((('Motore 2022'!$B$47+'Motore 2022'!$B$50+'Motore 2021'!$B$53)/365)*$D$14)*10%),(('Motore 2022'!$B$53/365)*$D$14)+(('Motore 2022'!$B$53/365)*$D$14)*10%),0)</f>
        <v>0</v>
      </c>
      <c r="BL28" s="86">
        <f>IF(I28&lt;&gt;0,IF($C$17="SI",((('Motore 2021'!$B$47+'Motore 2021'!$B$50+'Motore 2021'!$B$53)/365)*$D$13)+(((('Motore 2021'!$B$47+'Motore 2021'!$B$50+'Motore 2021'!$B$53)/365)*$D$13)*10%),(('Motore 2021'!$B$53/365)*$D$13)+(('Motore 2021'!$B$53/365)*$D$13)*10%),0)</f>
        <v>0</v>
      </c>
      <c r="BM28" s="86">
        <f>IF(I28&lt;&gt;0,IF($C$17="SI",((('Motore 2022'!$B$47+'Motore 2022'!$B$50+'Motore 2022'!$B$53)/365)*$D$14),(('Motore 2022'!$B$53/365)*$D$14)),0)</f>
        <v>0</v>
      </c>
      <c r="BN28" s="86">
        <f>IF(I28&lt;&gt;0,IF($C$17="SI",((('Motore 2021'!$B$47+'Motore 2021'!$B$50+'Motore 2021'!$B$53)/365)*$D$13),(('Motore 2021'!$B$53/365)*$D$13)),0)</f>
        <v>0</v>
      </c>
      <c r="BO28" s="86">
        <f t="shared" ref="BO28:BO34" si="41">AW28+AY28+BA28+BC28+BI28</f>
        <v>0</v>
      </c>
      <c r="BP28" s="88">
        <f t="shared" ref="BP28:BP34" si="42">AX28+AZ28+BB28+BD28+BJ28</f>
        <v>0</v>
      </c>
      <c r="BQ28" s="42"/>
    </row>
    <row r="29" spans="1:70" x14ac:dyDescent="0.3">
      <c r="A29" s="76" t="s">
        <v>0</v>
      </c>
      <c r="B29" s="53">
        <v>0</v>
      </c>
      <c r="C29" s="53">
        <v>0</v>
      </c>
      <c r="D29" s="53">
        <v>0</v>
      </c>
      <c r="E29" s="53">
        <f t="shared" si="11"/>
        <v>4</v>
      </c>
      <c r="F29" s="53">
        <f t="shared" si="12"/>
        <v>0</v>
      </c>
      <c r="G29" s="59" t="s">
        <v>6</v>
      </c>
      <c r="H29" s="73">
        <f t="shared" si="13"/>
        <v>0</v>
      </c>
      <c r="I29" s="73">
        <f t="shared" si="14"/>
        <v>0</v>
      </c>
      <c r="J29" s="74">
        <f t="shared" si="15"/>
        <v>0</v>
      </c>
      <c r="K29" s="74">
        <f t="shared" si="0"/>
        <v>0</v>
      </c>
      <c r="L29" s="75">
        <f t="shared" si="16"/>
        <v>0</v>
      </c>
      <c r="M29" s="75">
        <f t="shared" si="17"/>
        <v>0</v>
      </c>
      <c r="N29" s="128">
        <f>IF(L29&lt;'Motore 2022'!$H$28,Ripartizione!L29,'Motore 2022'!$H$28)</f>
        <v>0</v>
      </c>
      <c r="O29" s="128">
        <f>IF(M29&lt;'Motore 2021'!$H$28,Ripartizione!M29,'Motore 2021'!$H$28)</f>
        <v>0</v>
      </c>
      <c r="P29" s="128">
        <f t="shared" si="18"/>
        <v>0</v>
      </c>
      <c r="Q29" s="128">
        <f t="shared" si="19"/>
        <v>0</v>
      </c>
      <c r="R29" s="128">
        <f>ROUND(P29*'Motore 2022'!$E$28,2)</f>
        <v>0</v>
      </c>
      <c r="S29" s="128">
        <f>ROUND(Q29*'Motore 2021'!$E$28,2)</f>
        <v>0</v>
      </c>
      <c r="T29" s="128">
        <f>IF((L29-N29)&lt;'Motore 2022'!$H$29,(L29-N29),'Motore 2022'!$H$29)</f>
        <v>0</v>
      </c>
      <c r="U29" s="128">
        <f>IF((M29-O29)&lt;'Motore 2021'!$H$29,(M29-O29),'Motore 2021'!$H$29)</f>
        <v>0</v>
      </c>
      <c r="V29" s="128">
        <f t="shared" si="20"/>
        <v>0</v>
      </c>
      <c r="W29" s="128">
        <f t="shared" si="21"/>
        <v>0</v>
      </c>
      <c r="X29" s="128">
        <f>ROUND(V29*'Motore 2022'!$E$29,2)</f>
        <v>0</v>
      </c>
      <c r="Y29" s="128">
        <f>ROUND(W29*'Motore 2021'!$E$29,2)</f>
        <v>0</v>
      </c>
      <c r="Z29" s="128">
        <f>IF(L29-N29-T29&lt;'Motore 2022'!$H$30,(Ripartizione!L29-Ripartizione!N29-Ripartizione!T29),'Motore 2022'!$H$30)</f>
        <v>0</v>
      </c>
      <c r="AA29" s="128">
        <f>IF(M29-O29-U29&lt;'Motore 2021'!$H$30,(Ripartizione!M29-Ripartizione!O29-Ripartizione!U29),'Motore 2021'!$H$30)</f>
        <v>0</v>
      </c>
      <c r="AB29" s="128">
        <f t="shared" si="22"/>
        <v>0</v>
      </c>
      <c r="AC29" s="128">
        <f t="shared" si="23"/>
        <v>0</v>
      </c>
      <c r="AD29" s="128">
        <f>ROUND(AB29*'Motore 2022'!$E$30,2)</f>
        <v>0</v>
      </c>
      <c r="AE29" s="128">
        <f>ROUND(AC29*'Motore 2021'!$E$30,2)</f>
        <v>0</v>
      </c>
      <c r="AF29" s="128">
        <f>IF((L29-N29-T29-Z29)&lt;'Motore 2022'!$H$31, (L29-N29-T29-Z29),'Motore 2022'!$H$31)</f>
        <v>0</v>
      </c>
      <c r="AG29" s="128">
        <f>IF((M29-O29-U29-AA29)&lt;'Motore 2021'!$H$31, (M29-O29-U29-AA29),'Motore 2021'!$H$31)</f>
        <v>0</v>
      </c>
      <c r="AH29" s="128">
        <f t="shared" si="24"/>
        <v>0</v>
      </c>
      <c r="AI29" s="128">
        <f t="shared" si="25"/>
        <v>0</v>
      </c>
      <c r="AJ29" s="128">
        <f>ROUND(AH29*'Motore 2022'!$E$31,2)</f>
        <v>0</v>
      </c>
      <c r="AK29" s="128">
        <f>ROUND(AI29*'Motore 2021'!$E$31,2)</f>
        <v>0</v>
      </c>
      <c r="AL29" s="128">
        <f t="shared" si="26"/>
        <v>0</v>
      </c>
      <c r="AM29" s="128">
        <f t="shared" si="27"/>
        <v>0</v>
      </c>
      <c r="AN29" s="128">
        <f t="shared" si="28"/>
        <v>0</v>
      </c>
      <c r="AO29" s="128">
        <f t="shared" si="29"/>
        <v>0</v>
      </c>
      <c r="AP29" s="128">
        <f>ROUND(AN29*'Motore 2022'!$E$32,2)</f>
        <v>0</v>
      </c>
      <c r="AQ29" s="128">
        <f>ROUND(AO29*'Motore 2021'!$E$32,2)</f>
        <v>0</v>
      </c>
      <c r="AR29" s="51">
        <f t="shared" si="30"/>
        <v>0</v>
      </c>
      <c r="AS29" s="51">
        <f t="shared" si="31"/>
        <v>0</v>
      </c>
      <c r="AT29" s="51">
        <f t="shared" si="32"/>
        <v>0</v>
      </c>
      <c r="AU29" s="51">
        <f t="shared" si="33"/>
        <v>0</v>
      </c>
      <c r="AV29" s="51">
        <f t="shared" si="34"/>
        <v>0</v>
      </c>
      <c r="AW29" s="51">
        <f t="shared" si="35"/>
        <v>0</v>
      </c>
      <c r="AX29" s="51">
        <f t="shared" si="36"/>
        <v>0</v>
      </c>
      <c r="AY29" s="51">
        <f>IF($C$17="SI",((C29*'Motore 2022'!$B$35) + (D29*'Motore 2021'!$B$35)),0)</f>
        <v>0</v>
      </c>
      <c r="AZ29" s="52">
        <f>IF($C$17="SI",((C29*'Motore 2022'!$B$35)+(C29*'Motore 2022'!$B$35)*10% + (D29*'Motore 2022'!$B$35)+(D29*'Motore 2022'!$B$35)*10%),0)</f>
        <v>0</v>
      </c>
      <c r="BA29" s="82">
        <f>IF($C$17="SI",(((C29*'Motore 2022'!$B$38))+((D29*'Motore 2021'!$B$38))),0)</f>
        <v>0</v>
      </c>
      <c r="BB29" s="52">
        <f>IF($C$17="SI",(((C29*'Motore 2022'!$B$38)+((C29*'Motore 2022'!$B$38)*10%))+((D29*'Motore 2022'!$B$38)+((D29*'Motore 2022'!$B$38)*10%))),0)</f>
        <v>0</v>
      </c>
      <c r="BC29" s="52">
        <f t="shared" si="37"/>
        <v>0</v>
      </c>
      <c r="BD29" s="86">
        <f t="shared" si="38"/>
        <v>0</v>
      </c>
      <c r="BE29" s="86">
        <f>IF($C$17="SI",(C29*3*('Motore 2022'!$B$42+'Motore 2022'!$B$43+'Motore 2022'!$B$44)),(C29*1*('Motore 2022'!$B$41+'Motore 2022'!$B$42+'Motore 2022'!$B$43+'Motore 2022'!$B$44)))</f>
        <v>0</v>
      </c>
      <c r="BF29" s="87">
        <f>IF($C$17="SI",(D29*3*('Motore 2021'!$B$42+'Motore 2021'!$B$44)),(D29*1*('Motore 2021'!$B$41+'Motore 2021'!$B$42+'Motore 2021'!$D$43+'Motore 2021'!$B$44)))</f>
        <v>0</v>
      </c>
      <c r="BG29" s="86">
        <f>IF($C$17="SI",(C29*3*('Motore 2022'!$B$41+'Motore 2022'!$B$42+'Motore 2022'!$B$43+'Motore 2022'!$B$44))+((C29*3*('Motore 2022'!$B$41+'Motore 2022'!$B$42+'Motore 2022'!$B$43+'Motore 2022'!$B$44))*10%),(C29*1*('Motore 2022'!$B$41+'Motore 2022'!$B$42+'Motore 2022'!$B$43+'Motore 2022'!$B$44))+((C29*1*('Motore 2022'!$B$41+'Motore 2022'!$B$42+'Motore 2022'!$B$43+'Motore 2022'!$B$44))*10%))</f>
        <v>0</v>
      </c>
      <c r="BH29" s="86">
        <f>IF($C$17="SI",(D29*3*('Motore 2022'!$B$41+'Motore 2022'!$B$42+'Motore 2022'!$B$43+'Motore 2022'!$B$44))+((D29*3*('Motore 2022'!$B$41+'Motore 2022'!$B$42+'Motore 2022'!$B$43+'Motore 2022'!$B$44))*10%),(D29*1*('Motore 2022'!$B$41+'Motore 2022'!$B$42+'Motore 2022'!$B$43+'Motore 2022'!$B$44))+((D29*1*('Motore 2022'!$B$41+'Motore 2022'!$B$42+'Motore 2022'!$B$43+'Motore 2022'!$B$44))*10%))</f>
        <v>0</v>
      </c>
      <c r="BI29" s="86">
        <f t="shared" si="39"/>
        <v>0</v>
      </c>
      <c r="BJ29" s="86">
        <f t="shared" si="40"/>
        <v>0</v>
      </c>
      <c r="BK29" s="86">
        <f>IF(I29&lt;&gt;0,IF($C$17="SI",((('Motore 2022'!$B$47+'Motore 2022'!$B$50+'Motore 2022'!$B$53)/365)*$D$14)+(((('Motore 2022'!$B$47+'Motore 2022'!$B$50+'Motore 2021'!$B$53)/365)*$D$14)*10%),(('Motore 2022'!$B$53/365)*$D$14)+(('Motore 2022'!$B$53/365)*$D$14)*10%),0)</f>
        <v>0</v>
      </c>
      <c r="BL29" s="86">
        <f>IF(I29&lt;&gt;0,IF($C$17="SI",((('Motore 2021'!$B$47+'Motore 2021'!$B$50+'Motore 2021'!$B$53)/365)*$D$13)+(((('Motore 2021'!$B$47+'Motore 2021'!$B$50+'Motore 2021'!$B$53)/365)*$D$13)*10%),(('Motore 2021'!$B$53/365)*$D$13)+(('Motore 2021'!$B$53/365)*$D$13)*10%),0)</f>
        <v>0</v>
      </c>
      <c r="BM29" s="86">
        <f>IF(I29&lt;&gt;0,IF($C$17="SI",((('Motore 2022'!$B$47+'Motore 2022'!$B$50+'Motore 2022'!$B$53)/365)*$D$14),(('Motore 2022'!$B$53/365)*$D$14)),0)</f>
        <v>0</v>
      </c>
      <c r="BN29" s="86">
        <f>IF(I29&lt;&gt;0,IF($C$17="SI",((('Motore 2021'!$B$47+'Motore 2021'!$B$50+'Motore 2021'!$B$53)/365)*$D$13),(('Motore 2021'!$B$53/365)*$D$13)),0)</f>
        <v>0</v>
      </c>
      <c r="BO29" s="86">
        <f t="shared" si="41"/>
        <v>0</v>
      </c>
      <c r="BP29" s="88">
        <f t="shared" si="42"/>
        <v>0</v>
      </c>
      <c r="BQ29" s="42"/>
    </row>
    <row r="30" spans="1:70" x14ac:dyDescent="0.3">
      <c r="A30" s="76" t="s">
        <v>1</v>
      </c>
      <c r="B30" s="53">
        <v>0</v>
      </c>
      <c r="C30" s="53">
        <v>0</v>
      </c>
      <c r="D30" s="53">
        <v>0</v>
      </c>
      <c r="E30" s="53">
        <f t="shared" si="11"/>
        <v>4</v>
      </c>
      <c r="F30" s="53">
        <f t="shared" si="12"/>
        <v>0</v>
      </c>
      <c r="G30" s="59" t="s">
        <v>6</v>
      </c>
      <c r="H30" s="73">
        <f t="shared" si="13"/>
        <v>0</v>
      </c>
      <c r="I30" s="73">
        <f t="shared" si="14"/>
        <v>0</v>
      </c>
      <c r="J30" s="74">
        <f t="shared" si="15"/>
        <v>0</v>
      </c>
      <c r="K30" s="74">
        <f t="shared" si="0"/>
        <v>0</v>
      </c>
      <c r="L30" s="75">
        <f t="shared" si="16"/>
        <v>0</v>
      </c>
      <c r="M30" s="75">
        <f t="shared" si="17"/>
        <v>0</v>
      </c>
      <c r="N30" s="128">
        <f>IF(L30&lt;'Motore 2022'!$H$28,Ripartizione!L30,'Motore 2022'!$H$28)</f>
        <v>0</v>
      </c>
      <c r="O30" s="128">
        <f>IF(M30&lt;'Motore 2021'!$H$28,Ripartizione!M30,'Motore 2021'!$H$28)</f>
        <v>0</v>
      </c>
      <c r="P30" s="128">
        <f t="shared" si="18"/>
        <v>0</v>
      </c>
      <c r="Q30" s="128">
        <f t="shared" si="19"/>
        <v>0</v>
      </c>
      <c r="R30" s="128">
        <f>ROUND(P30*'Motore 2022'!$E$28,2)</f>
        <v>0</v>
      </c>
      <c r="S30" s="128">
        <f>ROUND(Q30*'Motore 2021'!$E$28,2)</f>
        <v>0</v>
      </c>
      <c r="T30" s="128">
        <f>IF((L30-N30)&lt;'Motore 2022'!$H$29,(L30-N30),'Motore 2022'!$H$29)</f>
        <v>0</v>
      </c>
      <c r="U30" s="128">
        <f>IF((M30-O30)&lt;'Motore 2021'!$H$29,(M30-O30),'Motore 2021'!$H$29)</f>
        <v>0</v>
      </c>
      <c r="V30" s="128">
        <f t="shared" si="20"/>
        <v>0</v>
      </c>
      <c r="W30" s="128">
        <f t="shared" si="21"/>
        <v>0</v>
      </c>
      <c r="X30" s="128">
        <f>ROUND(V30*'Motore 2022'!$E$29,2)</f>
        <v>0</v>
      </c>
      <c r="Y30" s="128">
        <f>ROUND(W30*'Motore 2021'!$E$29,2)</f>
        <v>0</v>
      </c>
      <c r="Z30" s="128">
        <f>IF(L30-N30-T30&lt;'Motore 2022'!$H$30,(Ripartizione!L30-Ripartizione!N30-Ripartizione!T30),'Motore 2022'!$H$30)</f>
        <v>0</v>
      </c>
      <c r="AA30" s="128">
        <f>IF(M30-O30-U30&lt;'Motore 2021'!$H$30,(Ripartizione!M30-Ripartizione!O30-Ripartizione!U30),'Motore 2021'!$H$30)</f>
        <v>0</v>
      </c>
      <c r="AB30" s="128">
        <f t="shared" si="22"/>
        <v>0</v>
      </c>
      <c r="AC30" s="128">
        <f t="shared" si="23"/>
        <v>0</v>
      </c>
      <c r="AD30" s="128">
        <f>ROUND(AB30*'Motore 2022'!$E$30,2)</f>
        <v>0</v>
      </c>
      <c r="AE30" s="128">
        <f>ROUND(AC30*'Motore 2021'!$E$30,2)</f>
        <v>0</v>
      </c>
      <c r="AF30" s="128">
        <f>IF((L30-N30-T30-Z30)&lt;'Motore 2022'!$H$31, (L30-N30-T30-Z30),'Motore 2022'!$H$31)</f>
        <v>0</v>
      </c>
      <c r="AG30" s="128">
        <f>IF((M30-O30-U30-AA30)&lt;'Motore 2021'!$H$31, (M30-O30-U30-AA30),'Motore 2021'!$H$31)</f>
        <v>0</v>
      </c>
      <c r="AH30" s="128">
        <f t="shared" si="24"/>
        <v>0</v>
      </c>
      <c r="AI30" s="128">
        <f t="shared" si="25"/>
        <v>0</v>
      </c>
      <c r="AJ30" s="128">
        <f>ROUND(AH30*'Motore 2022'!$E$31,2)</f>
        <v>0</v>
      </c>
      <c r="AK30" s="128">
        <f>ROUND(AI30*'Motore 2021'!$E$31,2)</f>
        <v>0</v>
      </c>
      <c r="AL30" s="128">
        <f t="shared" si="26"/>
        <v>0</v>
      </c>
      <c r="AM30" s="128">
        <f t="shared" si="27"/>
        <v>0</v>
      </c>
      <c r="AN30" s="128">
        <f t="shared" si="28"/>
        <v>0</v>
      </c>
      <c r="AO30" s="128">
        <f t="shared" si="29"/>
        <v>0</v>
      </c>
      <c r="AP30" s="128">
        <f>ROUND(AN30*'Motore 2022'!$E$32,2)</f>
        <v>0</v>
      </c>
      <c r="AQ30" s="128">
        <f>ROUND(AO30*'Motore 2021'!$E$32,2)</f>
        <v>0</v>
      </c>
      <c r="AR30" s="51">
        <f t="shared" si="30"/>
        <v>0</v>
      </c>
      <c r="AS30" s="51">
        <f t="shared" si="31"/>
        <v>0</v>
      </c>
      <c r="AT30" s="51">
        <f t="shared" si="32"/>
        <v>0</v>
      </c>
      <c r="AU30" s="51">
        <f t="shared" si="33"/>
        <v>0</v>
      </c>
      <c r="AV30" s="51">
        <f t="shared" si="34"/>
        <v>0</v>
      </c>
      <c r="AW30" s="51">
        <f t="shared" si="35"/>
        <v>0</v>
      </c>
      <c r="AX30" s="51">
        <f t="shared" si="36"/>
        <v>0</v>
      </c>
      <c r="AY30" s="51">
        <f>IF($C$17="SI",((C30*'Motore 2022'!$B$35) + (D30*'Motore 2021'!$B$35)),0)</f>
        <v>0</v>
      </c>
      <c r="AZ30" s="52">
        <f>IF($C$17="SI",((C30*'Motore 2022'!$B$35)+(C30*'Motore 2022'!$B$35)*10% + (D30*'Motore 2022'!$B$35)+(D30*'Motore 2022'!$B$35)*10%),0)</f>
        <v>0</v>
      </c>
      <c r="BA30" s="82">
        <f>IF($C$17="SI",(((C30*'Motore 2022'!$B$38))+((D30*'Motore 2021'!$B$38))),0)</f>
        <v>0</v>
      </c>
      <c r="BB30" s="52">
        <f>IF($C$17="SI",(((C30*'Motore 2022'!$B$38)+((C30*'Motore 2022'!$B$38)*10%))+((D30*'Motore 2022'!$B$38)+((D30*'Motore 2022'!$B$38)*10%))),0)</f>
        <v>0</v>
      </c>
      <c r="BC30" s="52">
        <f t="shared" si="37"/>
        <v>0</v>
      </c>
      <c r="BD30" s="86">
        <f t="shared" si="38"/>
        <v>0</v>
      </c>
      <c r="BE30" s="86">
        <f>IF($C$17="SI",(C30*3*('Motore 2022'!$B$42+'Motore 2022'!$B$43+'Motore 2022'!$B$44)),(C30*1*('Motore 2022'!$B$41+'Motore 2022'!$B$42+'Motore 2022'!$B$43+'Motore 2022'!$B$44)))</f>
        <v>0</v>
      </c>
      <c r="BF30" s="87">
        <f>IF($C$17="SI",(D30*3*('Motore 2021'!$B$42+'Motore 2021'!$B$44)),(D30*1*('Motore 2021'!$B$41+'Motore 2021'!$B$42+'Motore 2021'!$D$43+'Motore 2021'!$B$44)))</f>
        <v>0</v>
      </c>
      <c r="BG30" s="86">
        <f>IF($C$17="SI",(C30*3*('Motore 2022'!$B$41+'Motore 2022'!$B$42+'Motore 2022'!$B$43+'Motore 2022'!$B$44))+((C30*3*('Motore 2022'!$B$41+'Motore 2022'!$B$42+'Motore 2022'!$B$43+'Motore 2022'!$B$44))*10%),(C30*1*('Motore 2022'!$B$41+'Motore 2022'!$B$42+'Motore 2022'!$B$43+'Motore 2022'!$B$44))+((C30*1*('Motore 2022'!$B$41+'Motore 2022'!$B$42+'Motore 2022'!$B$43+'Motore 2022'!$B$44))*10%))</f>
        <v>0</v>
      </c>
      <c r="BH30" s="86">
        <f>IF($C$17="SI",(D30*3*('Motore 2022'!$B$41+'Motore 2022'!$B$42+'Motore 2022'!$B$43+'Motore 2022'!$B$44))+((D30*3*('Motore 2022'!$B$41+'Motore 2022'!$B$42+'Motore 2022'!$B$43+'Motore 2022'!$B$44))*10%),(D30*1*('Motore 2022'!$B$41+'Motore 2022'!$B$42+'Motore 2022'!$B$43+'Motore 2022'!$B$44))+((D30*1*('Motore 2022'!$B$41+'Motore 2022'!$B$42+'Motore 2022'!$B$43+'Motore 2022'!$B$44))*10%))</f>
        <v>0</v>
      </c>
      <c r="BI30" s="86">
        <f t="shared" si="39"/>
        <v>0</v>
      </c>
      <c r="BJ30" s="86">
        <f t="shared" si="40"/>
        <v>0</v>
      </c>
      <c r="BK30" s="86">
        <f>IF(I30&lt;&gt;0,IF($C$17="SI",((('Motore 2022'!$B$47+'Motore 2022'!$B$50+'Motore 2022'!$B$53)/365)*$D$14)+(((('Motore 2022'!$B$47+'Motore 2022'!$B$50+'Motore 2021'!$B$53)/365)*$D$14)*10%),(('Motore 2022'!$B$53/365)*$D$14)+(('Motore 2022'!$B$53/365)*$D$14)*10%),0)</f>
        <v>0</v>
      </c>
      <c r="BL30" s="86">
        <f>IF(I30&lt;&gt;0,IF($C$17="SI",((('Motore 2021'!$B$47+'Motore 2021'!$B$50+'Motore 2021'!$B$53)/365)*$D$13)+(((('Motore 2021'!$B$47+'Motore 2021'!$B$50+'Motore 2021'!$B$53)/365)*$D$13)*10%),(('Motore 2021'!$B$53/365)*$D$13)+(('Motore 2021'!$B$53/365)*$D$13)*10%),0)</f>
        <v>0</v>
      </c>
      <c r="BM30" s="86">
        <f>IF(I30&lt;&gt;0,IF($C$17="SI",((('Motore 2022'!$B$47+'Motore 2022'!$B$50+'Motore 2022'!$B$53)/365)*$D$14),(('Motore 2022'!$B$53/365)*$D$14)),0)</f>
        <v>0</v>
      </c>
      <c r="BN30" s="86">
        <f>IF(I30&lt;&gt;0,IF($C$17="SI",((('Motore 2021'!$B$47+'Motore 2021'!$B$50+'Motore 2021'!$B$53)/365)*$D$13),(('Motore 2021'!$B$53/365)*$D$13)),0)</f>
        <v>0</v>
      </c>
      <c r="BO30" s="86">
        <f t="shared" si="41"/>
        <v>0</v>
      </c>
      <c r="BP30" s="88">
        <f t="shared" si="42"/>
        <v>0</v>
      </c>
      <c r="BQ30" s="42"/>
    </row>
    <row r="31" spans="1:70" x14ac:dyDescent="0.3">
      <c r="A31" s="76" t="s">
        <v>2</v>
      </c>
      <c r="B31" s="53">
        <v>0</v>
      </c>
      <c r="C31" s="53">
        <v>0</v>
      </c>
      <c r="D31" s="53">
        <v>0</v>
      </c>
      <c r="E31" s="53">
        <f t="shared" si="11"/>
        <v>4</v>
      </c>
      <c r="F31" s="53">
        <f t="shared" si="12"/>
        <v>0</v>
      </c>
      <c r="G31" s="59" t="s">
        <v>6</v>
      </c>
      <c r="H31" s="73">
        <f t="shared" si="13"/>
        <v>0</v>
      </c>
      <c r="I31" s="73">
        <f t="shared" si="14"/>
        <v>0</v>
      </c>
      <c r="J31" s="74">
        <f t="shared" si="15"/>
        <v>0</v>
      </c>
      <c r="K31" s="74">
        <f t="shared" si="0"/>
        <v>0</v>
      </c>
      <c r="L31" s="75">
        <f t="shared" si="16"/>
        <v>0</v>
      </c>
      <c r="M31" s="75">
        <f t="shared" si="17"/>
        <v>0</v>
      </c>
      <c r="N31" s="128">
        <f>IF(L31&lt;'Motore 2022'!$H$28,Ripartizione!L31,'Motore 2022'!$H$28)</f>
        <v>0</v>
      </c>
      <c r="O31" s="128">
        <f>IF(M31&lt;'Motore 2021'!$H$28,Ripartizione!M31,'Motore 2021'!$H$28)</f>
        <v>0</v>
      </c>
      <c r="P31" s="128">
        <f t="shared" si="18"/>
        <v>0</v>
      </c>
      <c r="Q31" s="128">
        <f t="shared" si="19"/>
        <v>0</v>
      </c>
      <c r="R31" s="128">
        <f>ROUND(P31*'Motore 2022'!$E$28,2)</f>
        <v>0</v>
      </c>
      <c r="S31" s="128">
        <f>ROUND(Q31*'Motore 2021'!$E$28,2)</f>
        <v>0</v>
      </c>
      <c r="T31" s="128">
        <f>IF((L31-N31)&lt;'Motore 2022'!$H$29,(L31-N31),'Motore 2022'!$H$29)</f>
        <v>0</v>
      </c>
      <c r="U31" s="128">
        <f>IF((M31-O31)&lt;'Motore 2021'!$H$29,(M31-O31),'Motore 2021'!$H$29)</f>
        <v>0</v>
      </c>
      <c r="V31" s="128">
        <f t="shared" si="20"/>
        <v>0</v>
      </c>
      <c r="W31" s="128">
        <f t="shared" si="21"/>
        <v>0</v>
      </c>
      <c r="X31" s="128">
        <f>ROUND(V31*'Motore 2022'!$E$29,2)</f>
        <v>0</v>
      </c>
      <c r="Y31" s="128">
        <f>ROUND(W31*'Motore 2021'!$E$29,2)</f>
        <v>0</v>
      </c>
      <c r="Z31" s="128">
        <f>IF(L31-N31-T31&lt;'Motore 2022'!$H$30,(Ripartizione!L31-Ripartizione!N31-Ripartizione!T31),'Motore 2022'!$H$30)</f>
        <v>0</v>
      </c>
      <c r="AA31" s="128">
        <f>IF(M31-O31-U31&lt;'Motore 2021'!$H$30,(Ripartizione!M31-Ripartizione!O31-Ripartizione!U31),'Motore 2021'!$H$30)</f>
        <v>0</v>
      </c>
      <c r="AB31" s="128">
        <f t="shared" si="22"/>
        <v>0</v>
      </c>
      <c r="AC31" s="128">
        <f t="shared" si="23"/>
        <v>0</v>
      </c>
      <c r="AD31" s="128">
        <f>ROUND(AB31*'Motore 2022'!$E$30,2)</f>
        <v>0</v>
      </c>
      <c r="AE31" s="128">
        <f>ROUND(AC31*'Motore 2021'!$E$30,2)</f>
        <v>0</v>
      </c>
      <c r="AF31" s="128">
        <f>IF((L31-N31-T31-Z31)&lt;'Motore 2022'!$H$31, (L31-N31-T31-Z31),'Motore 2022'!$H$31)</f>
        <v>0</v>
      </c>
      <c r="AG31" s="128">
        <f>IF((M31-O31-U31-AA31)&lt;'Motore 2021'!$H$31, (M31-O31-U31-AA31),'Motore 2021'!$H$31)</f>
        <v>0</v>
      </c>
      <c r="AH31" s="128">
        <f t="shared" si="24"/>
        <v>0</v>
      </c>
      <c r="AI31" s="128">
        <f t="shared" si="25"/>
        <v>0</v>
      </c>
      <c r="AJ31" s="128">
        <f>ROUND(AH31*'Motore 2022'!$E$31,2)</f>
        <v>0</v>
      </c>
      <c r="AK31" s="128">
        <f>ROUND(AI31*'Motore 2021'!$E$31,2)</f>
        <v>0</v>
      </c>
      <c r="AL31" s="128">
        <f t="shared" si="26"/>
        <v>0</v>
      </c>
      <c r="AM31" s="128">
        <f t="shared" si="27"/>
        <v>0</v>
      </c>
      <c r="AN31" s="128">
        <f t="shared" si="28"/>
        <v>0</v>
      </c>
      <c r="AO31" s="128">
        <f t="shared" si="29"/>
        <v>0</v>
      </c>
      <c r="AP31" s="128">
        <f>ROUND(AN31*'Motore 2022'!$E$32,2)</f>
        <v>0</v>
      </c>
      <c r="AQ31" s="128">
        <f>ROUND(AO31*'Motore 2021'!$E$32,2)</f>
        <v>0</v>
      </c>
      <c r="AR31" s="51">
        <f t="shared" si="30"/>
        <v>0</v>
      </c>
      <c r="AS31" s="51">
        <f t="shared" si="31"/>
        <v>0</v>
      </c>
      <c r="AT31" s="51">
        <f t="shared" si="32"/>
        <v>0</v>
      </c>
      <c r="AU31" s="51">
        <f t="shared" si="33"/>
        <v>0</v>
      </c>
      <c r="AV31" s="51">
        <f t="shared" si="34"/>
        <v>0</v>
      </c>
      <c r="AW31" s="51">
        <f t="shared" si="35"/>
        <v>0</v>
      </c>
      <c r="AX31" s="51">
        <f t="shared" si="36"/>
        <v>0</v>
      </c>
      <c r="AY31" s="51">
        <f>IF($C$17="SI",((C31*'Motore 2022'!$B$35) + (D31*'Motore 2021'!$B$35)),0)</f>
        <v>0</v>
      </c>
      <c r="AZ31" s="52">
        <f>IF($C$17="SI",((C31*'Motore 2022'!$B$35)+(C31*'Motore 2022'!$B$35)*10% + (D31*'Motore 2022'!$B$35)+(D31*'Motore 2022'!$B$35)*10%),0)</f>
        <v>0</v>
      </c>
      <c r="BA31" s="82">
        <f>IF($C$17="SI",(((C31*'Motore 2022'!$B$38))+((D31*'Motore 2021'!$B$38))),0)</f>
        <v>0</v>
      </c>
      <c r="BB31" s="52">
        <f>IF($C$17="SI",(((C31*'Motore 2022'!$B$38)+((C31*'Motore 2022'!$B$38)*10%))+((D31*'Motore 2022'!$B$38)+((D31*'Motore 2022'!$B$38)*10%))),0)</f>
        <v>0</v>
      </c>
      <c r="BC31" s="52">
        <f t="shared" si="37"/>
        <v>0</v>
      </c>
      <c r="BD31" s="86">
        <f t="shared" si="38"/>
        <v>0</v>
      </c>
      <c r="BE31" s="86">
        <f>IF($C$17="SI",(C31*3*('Motore 2022'!$B$42+'Motore 2022'!$B$43+'Motore 2022'!$B$44)),(C31*1*('Motore 2022'!$B$41+'Motore 2022'!$B$42+'Motore 2022'!$B$43+'Motore 2022'!$B$44)))</f>
        <v>0</v>
      </c>
      <c r="BF31" s="87">
        <f>IF($C$17="SI",(D31*3*('Motore 2021'!$B$42+'Motore 2021'!$B$44)),(D31*1*('Motore 2021'!$B$41+'Motore 2021'!$B$42+'Motore 2021'!$D$43+'Motore 2021'!$B$44)))</f>
        <v>0</v>
      </c>
      <c r="BG31" s="86">
        <f>IF($C$17="SI",(C31*3*('Motore 2022'!$B$41+'Motore 2022'!$B$42+'Motore 2022'!$B$43+'Motore 2022'!$B$44))+((C31*3*('Motore 2022'!$B$41+'Motore 2022'!$B$42+'Motore 2022'!$B$43+'Motore 2022'!$B$44))*10%),(C31*1*('Motore 2022'!$B$41+'Motore 2022'!$B$42+'Motore 2022'!$B$43+'Motore 2022'!$B$44))+((C31*1*('Motore 2022'!$B$41+'Motore 2022'!$B$42+'Motore 2022'!$B$43+'Motore 2022'!$B$44))*10%))</f>
        <v>0</v>
      </c>
      <c r="BH31" s="86">
        <f>IF($C$17="SI",(D31*3*('Motore 2022'!$B$41+'Motore 2022'!$B$42+'Motore 2022'!$B$43+'Motore 2022'!$B$44))+((D31*3*('Motore 2022'!$B$41+'Motore 2022'!$B$42+'Motore 2022'!$B$43+'Motore 2022'!$B$44))*10%),(D31*1*('Motore 2022'!$B$41+'Motore 2022'!$B$42+'Motore 2022'!$B$43+'Motore 2022'!$B$44))+((D31*1*('Motore 2022'!$B$41+'Motore 2022'!$B$42+'Motore 2022'!$B$43+'Motore 2022'!$B$44))*10%))</f>
        <v>0</v>
      </c>
      <c r="BI31" s="86">
        <f t="shared" si="39"/>
        <v>0</v>
      </c>
      <c r="BJ31" s="86">
        <f t="shared" si="40"/>
        <v>0</v>
      </c>
      <c r="BK31" s="86">
        <f>IF(I31&lt;&gt;0,IF($C$17="SI",((('Motore 2022'!$B$47+'Motore 2022'!$B$50+'Motore 2022'!$B$53)/365)*$D$14)+(((('Motore 2022'!$B$47+'Motore 2022'!$B$50+'Motore 2021'!$B$53)/365)*$D$14)*10%),(('Motore 2022'!$B$53/365)*$D$14)+(('Motore 2022'!$B$53/365)*$D$14)*10%),0)</f>
        <v>0</v>
      </c>
      <c r="BL31" s="86">
        <f>IF(I31&lt;&gt;0,IF($C$17="SI",((('Motore 2021'!$B$47+'Motore 2021'!$B$50+'Motore 2021'!$B$53)/365)*$D$13)+(((('Motore 2021'!$B$47+'Motore 2021'!$B$50+'Motore 2021'!$B$53)/365)*$D$13)*10%),(('Motore 2021'!$B$53/365)*$D$13)+(('Motore 2021'!$B$53/365)*$D$13)*10%),0)</f>
        <v>0</v>
      </c>
      <c r="BM31" s="86">
        <f>IF(I31&lt;&gt;0,IF($C$17="SI",((('Motore 2022'!$B$47+'Motore 2022'!$B$50+'Motore 2022'!$B$53)/365)*$D$14),(('Motore 2022'!$B$53/365)*$D$14)),0)</f>
        <v>0</v>
      </c>
      <c r="BN31" s="86">
        <f>IF(I31&lt;&gt;0,IF($C$17="SI",((('Motore 2021'!$B$47+'Motore 2021'!$B$50+'Motore 2021'!$B$53)/365)*$D$13),(('Motore 2021'!$B$53/365)*$D$13)),0)</f>
        <v>0</v>
      </c>
      <c r="BO31" s="86">
        <f t="shared" si="41"/>
        <v>0</v>
      </c>
      <c r="BP31" s="88">
        <f t="shared" si="42"/>
        <v>0</v>
      </c>
      <c r="BQ31" s="42"/>
    </row>
    <row r="32" spans="1:70" x14ac:dyDescent="0.3">
      <c r="A32" s="76" t="s">
        <v>3</v>
      </c>
      <c r="B32" s="53">
        <v>0</v>
      </c>
      <c r="C32" s="53">
        <v>0</v>
      </c>
      <c r="D32" s="53">
        <v>0</v>
      </c>
      <c r="E32" s="53">
        <f t="shared" si="11"/>
        <v>4</v>
      </c>
      <c r="F32" s="53">
        <f t="shared" si="12"/>
        <v>0</v>
      </c>
      <c r="G32" s="59" t="s">
        <v>6</v>
      </c>
      <c r="H32" s="73">
        <f t="shared" si="13"/>
        <v>0</v>
      </c>
      <c r="I32" s="73">
        <f t="shared" si="14"/>
        <v>0</v>
      </c>
      <c r="J32" s="74">
        <f t="shared" si="15"/>
        <v>0</v>
      </c>
      <c r="K32" s="74">
        <f t="shared" si="0"/>
        <v>0</v>
      </c>
      <c r="L32" s="75">
        <f t="shared" si="16"/>
        <v>0</v>
      </c>
      <c r="M32" s="75">
        <f t="shared" si="17"/>
        <v>0</v>
      </c>
      <c r="N32" s="128">
        <f>IF(L32&lt;'Motore 2022'!$H$28,Ripartizione!L32,'Motore 2022'!$H$28)</f>
        <v>0</v>
      </c>
      <c r="O32" s="128">
        <f>IF(M32&lt;'Motore 2021'!$H$28,Ripartizione!M32,'Motore 2021'!$H$28)</f>
        <v>0</v>
      </c>
      <c r="P32" s="128">
        <f t="shared" si="18"/>
        <v>0</v>
      </c>
      <c r="Q32" s="128">
        <f t="shared" si="19"/>
        <v>0</v>
      </c>
      <c r="R32" s="128">
        <f>ROUND(P32*'Motore 2022'!$E$28,2)</f>
        <v>0</v>
      </c>
      <c r="S32" s="128">
        <f>ROUND(Q32*'Motore 2021'!$E$28,2)</f>
        <v>0</v>
      </c>
      <c r="T32" s="128">
        <f>IF((L32-N32)&lt;'Motore 2022'!$H$29,(L32-N32),'Motore 2022'!$H$29)</f>
        <v>0</v>
      </c>
      <c r="U32" s="128">
        <f>IF((M32-O32)&lt;'Motore 2021'!$H$29,(M32-O32),'Motore 2021'!$H$29)</f>
        <v>0</v>
      </c>
      <c r="V32" s="128">
        <f t="shared" si="20"/>
        <v>0</v>
      </c>
      <c r="W32" s="128">
        <f t="shared" si="21"/>
        <v>0</v>
      </c>
      <c r="X32" s="128">
        <f>ROUND(V32*'Motore 2022'!$E$29,2)</f>
        <v>0</v>
      </c>
      <c r="Y32" s="128">
        <f>ROUND(W32*'Motore 2021'!$E$29,2)</f>
        <v>0</v>
      </c>
      <c r="Z32" s="128">
        <f>IF(L32-N32-T32&lt;'Motore 2022'!$H$30,(Ripartizione!L32-Ripartizione!N32-Ripartizione!T32),'Motore 2022'!$H$30)</f>
        <v>0</v>
      </c>
      <c r="AA32" s="128">
        <f>IF(M32-O32-U32&lt;'Motore 2021'!$H$30,(Ripartizione!M32-Ripartizione!O32-Ripartizione!U32),'Motore 2021'!$H$30)</f>
        <v>0</v>
      </c>
      <c r="AB32" s="128">
        <f t="shared" si="22"/>
        <v>0</v>
      </c>
      <c r="AC32" s="128">
        <f t="shared" si="23"/>
        <v>0</v>
      </c>
      <c r="AD32" s="128">
        <f>ROUND(AB32*'Motore 2022'!$E$30,2)</f>
        <v>0</v>
      </c>
      <c r="AE32" s="128">
        <f>ROUND(AC32*'Motore 2021'!$E$30,2)</f>
        <v>0</v>
      </c>
      <c r="AF32" s="128">
        <f>IF((L32-N32-T32-Z32)&lt;'Motore 2022'!$H$31, (L32-N32-T32-Z32),'Motore 2022'!$H$31)</f>
        <v>0</v>
      </c>
      <c r="AG32" s="128">
        <f>IF((M32-O32-U32-AA32)&lt;'Motore 2021'!$H$31, (M32-O32-U32-AA32),'Motore 2021'!$H$31)</f>
        <v>0</v>
      </c>
      <c r="AH32" s="128">
        <f t="shared" si="24"/>
        <v>0</v>
      </c>
      <c r="AI32" s="128">
        <f t="shared" si="25"/>
        <v>0</v>
      </c>
      <c r="AJ32" s="128">
        <f>ROUND(AH32*'Motore 2022'!$E$31,2)</f>
        <v>0</v>
      </c>
      <c r="AK32" s="128">
        <f>ROUND(AI32*'Motore 2021'!$E$31,2)</f>
        <v>0</v>
      </c>
      <c r="AL32" s="128">
        <f t="shared" si="26"/>
        <v>0</v>
      </c>
      <c r="AM32" s="128">
        <f t="shared" si="27"/>
        <v>0</v>
      </c>
      <c r="AN32" s="128">
        <f t="shared" si="28"/>
        <v>0</v>
      </c>
      <c r="AO32" s="128">
        <f t="shared" si="29"/>
        <v>0</v>
      </c>
      <c r="AP32" s="128">
        <f>ROUND(AN32*'Motore 2022'!$E$32,2)</f>
        <v>0</v>
      </c>
      <c r="AQ32" s="128">
        <f>ROUND(AO32*'Motore 2021'!$E$32,2)</f>
        <v>0</v>
      </c>
      <c r="AR32" s="51">
        <f t="shared" si="30"/>
        <v>0</v>
      </c>
      <c r="AS32" s="51">
        <f t="shared" si="31"/>
        <v>0</v>
      </c>
      <c r="AT32" s="51">
        <f t="shared" si="32"/>
        <v>0</v>
      </c>
      <c r="AU32" s="51">
        <f t="shared" si="33"/>
        <v>0</v>
      </c>
      <c r="AV32" s="51">
        <f t="shared" si="34"/>
        <v>0</v>
      </c>
      <c r="AW32" s="51">
        <f t="shared" si="35"/>
        <v>0</v>
      </c>
      <c r="AX32" s="51">
        <f t="shared" si="36"/>
        <v>0</v>
      </c>
      <c r="AY32" s="51">
        <f>IF($C$17="SI",((C32*'Motore 2022'!$B$35) + (D32*'Motore 2021'!$B$35)),0)</f>
        <v>0</v>
      </c>
      <c r="AZ32" s="52">
        <f>IF($C$17="SI",((C32*'Motore 2022'!$B$35)+(C32*'Motore 2022'!$B$35)*10% + (D32*'Motore 2022'!$B$35)+(D32*'Motore 2022'!$B$35)*10%),0)</f>
        <v>0</v>
      </c>
      <c r="BA32" s="82">
        <f>IF($C$17="SI",(((C32*'Motore 2022'!$B$38))+((D32*'Motore 2021'!$B$38))),0)</f>
        <v>0</v>
      </c>
      <c r="BB32" s="52">
        <f>IF($C$17="SI",(((C32*'Motore 2022'!$B$38)+((C32*'Motore 2022'!$B$38)*10%))+((D32*'Motore 2022'!$B$38)+((D32*'Motore 2022'!$B$38)*10%))),0)</f>
        <v>0</v>
      </c>
      <c r="BC32" s="52">
        <f t="shared" si="37"/>
        <v>0</v>
      </c>
      <c r="BD32" s="86">
        <f t="shared" si="38"/>
        <v>0</v>
      </c>
      <c r="BE32" s="86">
        <f>IF($C$17="SI",(C32*3*('Motore 2022'!$B$42+'Motore 2022'!$B$43+'Motore 2022'!$B$44)),(C32*1*('Motore 2022'!$B$41+'Motore 2022'!$B$42+'Motore 2022'!$B$43+'Motore 2022'!$B$44)))</f>
        <v>0</v>
      </c>
      <c r="BF32" s="87">
        <f>IF($C$17="SI",(D32*3*('Motore 2021'!$B$42+'Motore 2021'!$B$44)),(D32*1*('Motore 2021'!$B$41+'Motore 2021'!$B$42+'Motore 2021'!$D$43+'Motore 2021'!$B$44)))</f>
        <v>0</v>
      </c>
      <c r="BG32" s="86">
        <f>IF($C$17="SI",(C32*3*('Motore 2022'!$B$41+'Motore 2022'!$B$42+'Motore 2022'!$B$43+'Motore 2022'!$B$44))+((C32*3*('Motore 2022'!$B$41+'Motore 2022'!$B$42+'Motore 2022'!$B$43+'Motore 2022'!$B$44))*10%),(C32*1*('Motore 2022'!$B$41+'Motore 2022'!$B$42+'Motore 2022'!$B$43+'Motore 2022'!$B$44))+((C32*1*('Motore 2022'!$B$41+'Motore 2022'!$B$42+'Motore 2022'!$B$43+'Motore 2022'!$B$44))*10%))</f>
        <v>0</v>
      </c>
      <c r="BH32" s="86">
        <f>IF($C$17="SI",(D32*3*('Motore 2022'!$B$41+'Motore 2022'!$B$42+'Motore 2022'!$B$43+'Motore 2022'!$B$44))+((D32*3*('Motore 2022'!$B$41+'Motore 2022'!$B$42+'Motore 2022'!$B$43+'Motore 2022'!$B$44))*10%),(D32*1*('Motore 2022'!$B$41+'Motore 2022'!$B$42+'Motore 2022'!$B$43+'Motore 2022'!$B$44))+((D32*1*('Motore 2022'!$B$41+'Motore 2022'!$B$42+'Motore 2022'!$B$43+'Motore 2022'!$B$44))*10%))</f>
        <v>0</v>
      </c>
      <c r="BI32" s="86">
        <f t="shared" si="39"/>
        <v>0</v>
      </c>
      <c r="BJ32" s="86">
        <f t="shared" si="40"/>
        <v>0</v>
      </c>
      <c r="BK32" s="86">
        <f>IF(I32&lt;&gt;0,IF($C$17="SI",((('Motore 2022'!$B$47+'Motore 2022'!$B$50+'Motore 2022'!$B$53)/365)*$D$14)+(((('Motore 2022'!$B$47+'Motore 2022'!$B$50+'Motore 2021'!$B$53)/365)*$D$14)*10%),(('Motore 2022'!$B$53/365)*$D$14)+(('Motore 2022'!$B$53/365)*$D$14)*10%),0)</f>
        <v>0</v>
      </c>
      <c r="BL32" s="86">
        <f>IF(I32&lt;&gt;0,IF($C$17="SI",((('Motore 2021'!$B$47+'Motore 2021'!$B$50+'Motore 2021'!$B$53)/365)*$D$13)+(((('Motore 2021'!$B$47+'Motore 2021'!$B$50+'Motore 2021'!$B$53)/365)*$D$13)*10%),(('Motore 2021'!$B$53/365)*$D$13)+(('Motore 2021'!$B$53/365)*$D$13)*10%),0)</f>
        <v>0</v>
      </c>
      <c r="BM32" s="86">
        <f>IF(I32&lt;&gt;0,IF($C$17="SI",((('Motore 2022'!$B$47+'Motore 2022'!$B$50+'Motore 2022'!$B$53)/365)*$D$14),(('Motore 2022'!$B$53/365)*$D$14)),0)</f>
        <v>0</v>
      </c>
      <c r="BN32" s="86">
        <f>IF(I32&lt;&gt;0,IF($C$17="SI",((('Motore 2021'!$B$47+'Motore 2021'!$B$50+'Motore 2021'!$B$53)/365)*$D$13),(('Motore 2021'!$B$53/365)*$D$13)),0)</f>
        <v>0</v>
      </c>
      <c r="BO32" s="86">
        <f t="shared" si="41"/>
        <v>0</v>
      </c>
      <c r="BP32" s="88">
        <f t="shared" si="42"/>
        <v>0</v>
      </c>
      <c r="BQ32" s="42"/>
    </row>
    <row r="33" spans="1:69" x14ac:dyDescent="0.3">
      <c r="A33" s="76" t="s">
        <v>4</v>
      </c>
      <c r="B33" s="53">
        <v>0</v>
      </c>
      <c r="C33" s="53">
        <v>0</v>
      </c>
      <c r="D33" s="53">
        <v>0</v>
      </c>
      <c r="E33" s="53">
        <f t="shared" si="11"/>
        <v>4</v>
      </c>
      <c r="F33" s="53">
        <f t="shared" si="12"/>
        <v>0</v>
      </c>
      <c r="G33" s="59" t="s">
        <v>6</v>
      </c>
      <c r="H33" s="73">
        <f t="shared" si="13"/>
        <v>0</v>
      </c>
      <c r="I33" s="73">
        <f t="shared" si="14"/>
        <v>0</v>
      </c>
      <c r="J33" s="74">
        <f t="shared" si="15"/>
        <v>0</v>
      </c>
      <c r="K33" s="74">
        <f t="shared" si="0"/>
        <v>0</v>
      </c>
      <c r="L33" s="75">
        <f t="shared" si="16"/>
        <v>0</v>
      </c>
      <c r="M33" s="75">
        <f t="shared" si="17"/>
        <v>0</v>
      </c>
      <c r="N33" s="128">
        <f>IF(L33&lt;'Motore 2022'!$H$28,Ripartizione!L33,'Motore 2022'!$H$28)</f>
        <v>0</v>
      </c>
      <c r="O33" s="128">
        <f>IF(M33&lt;'Motore 2021'!$H$28,Ripartizione!M33,'Motore 2021'!$H$28)</f>
        <v>0</v>
      </c>
      <c r="P33" s="128">
        <f t="shared" si="18"/>
        <v>0</v>
      </c>
      <c r="Q33" s="128">
        <f t="shared" si="19"/>
        <v>0</v>
      </c>
      <c r="R33" s="128">
        <f>ROUND(P33*'Motore 2022'!$E$28,2)</f>
        <v>0</v>
      </c>
      <c r="S33" s="128">
        <f>ROUND(Q33*'Motore 2021'!$E$28,2)</f>
        <v>0</v>
      </c>
      <c r="T33" s="128">
        <f>IF((L33-N33)&lt;'Motore 2022'!$H$29,(L33-N33),'Motore 2022'!$H$29)</f>
        <v>0</v>
      </c>
      <c r="U33" s="128">
        <f>IF((M33-O33)&lt;'Motore 2021'!$H$29,(M33-O33),'Motore 2021'!$H$29)</f>
        <v>0</v>
      </c>
      <c r="V33" s="128">
        <f t="shared" si="20"/>
        <v>0</v>
      </c>
      <c r="W33" s="128">
        <f t="shared" si="21"/>
        <v>0</v>
      </c>
      <c r="X33" s="128">
        <f>ROUND(V33*'Motore 2022'!$E$29,2)</f>
        <v>0</v>
      </c>
      <c r="Y33" s="128">
        <f>ROUND(W33*'Motore 2021'!$E$29,2)</f>
        <v>0</v>
      </c>
      <c r="Z33" s="128">
        <f>IF(L33-N33-T33&lt;'Motore 2022'!$H$30,(Ripartizione!L33-Ripartizione!N33-Ripartizione!T33),'Motore 2022'!$H$30)</f>
        <v>0</v>
      </c>
      <c r="AA33" s="128">
        <f>IF(M33-O33-U33&lt;'Motore 2021'!$H$30,(Ripartizione!M33-Ripartizione!O33-Ripartizione!U33),'Motore 2021'!$H$30)</f>
        <v>0</v>
      </c>
      <c r="AB33" s="128">
        <f t="shared" si="22"/>
        <v>0</v>
      </c>
      <c r="AC33" s="128">
        <f t="shared" si="23"/>
        <v>0</v>
      </c>
      <c r="AD33" s="128">
        <f>ROUND(AB33*'Motore 2022'!$E$30,2)</f>
        <v>0</v>
      </c>
      <c r="AE33" s="128">
        <f>ROUND(AC33*'Motore 2021'!$E$30,2)</f>
        <v>0</v>
      </c>
      <c r="AF33" s="128">
        <f>IF((L33-N33-T33-Z33)&lt;'Motore 2022'!$H$31, (L33-N33-T33-Z33),'Motore 2022'!$H$31)</f>
        <v>0</v>
      </c>
      <c r="AG33" s="128">
        <f>IF((M33-O33-U33-AA33)&lt;'Motore 2021'!$H$31, (M33-O33-U33-AA33),'Motore 2021'!$H$31)</f>
        <v>0</v>
      </c>
      <c r="AH33" s="128">
        <f t="shared" si="24"/>
        <v>0</v>
      </c>
      <c r="AI33" s="128">
        <f t="shared" si="25"/>
        <v>0</v>
      </c>
      <c r="AJ33" s="128">
        <f>ROUND(AH33*'Motore 2022'!$E$31,2)</f>
        <v>0</v>
      </c>
      <c r="AK33" s="128">
        <f>ROUND(AI33*'Motore 2021'!$E$31,2)</f>
        <v>0</v>
      </c>
      <c r="AL33" s="128">
        <f t="shared" si="26"/>
        <v>0</v>
      </c>
      <c r="AM33" s="128">
        <f t="shared" si="27"/>
        <v>0</v>
      </c>
      <c r="AN33" s="128">
        <f t="shared" si="28"/>
        <v>0</v>
      </c>
      <c r="AO33" s="128">
        <f t="shared" si="29"/>
        <v>0</v>
      </c>
      <c r="AP33" s="128">
        <f>ROUND(AN33*'Motore 2022'!$E$32,2)</f>
        <v>0</v>
      </c>
      <c r="AQ33" s="128">
        <f>ROUND(AO33*'Motore 2021'!$E$32,2)</f>
        <v>0</v>
      </c>
      <c r="AR33" s="51">
        <f t="shared" si="30"/>
        <v>0</v>
      </c>
      <c r="AS33" s="51">
        <f t="shared" si="31"/>
        <v>0</v>
      </c>
      <c r="AT33" s="51">
        <f t="shared" si="32"/>
        <v>0</v>
      </c>
      <c r="AU33" s="51">
        <f t="shared" si="33"/>
        <v>0</v>
      </c>
      <c r="AV33" s="51">
        <f t="shared" si="34"/>
        <v>0</v>
      </c>
      <c r="AW33" s="51">
        <f t="shared" si="35"/>
        <v>0</v>
      </c>
      <c r="AX33" s="51">
        <f t="shared" si="36"/>
        <v>0</v>
      </c>
      <c r="AY33" s="51">
        <f>IF($C$17="SI",((C33*'Motore 2022'!$B$35) + (D33*'Motore 2021'!$B$35)),0)</f>
        <v>0</v>
      </c>
      <c r="AZ33" s="52">
        <f>IF($C$17="SI",((C33*'Motore 2022'!$B$35)+(C33*'Motore 2022'!$B$35)*10% + (D33*'Motore 2022'!$B$35)+(D33*'Motore 2022'!$B$35)*10%),0)</f>
        <v>0</v>
      </c>
      <c r="BA33" s="82">
        <f>IF($C$17="SI",(((C33*'Motore 2022'!$B$38))+((D33*'Motore 2021'!$B$38))),0)</f>
        <v>0</v>
      </c>
      <c r="BB33" s="52">
        <f>IF($C$17="SI",(((C33*'Motore 2022'!$B$38)+((C33*'Motore 2022'!$B$38)*10%))+((D33*'Motore 2022'!$B$38)+((D33*'Motore 2022'!$B$38)*10%))),0)</f>
        <v>0</v>
      </c>
      <c r="BC33" s="52">
        <f t="shared" si="37"/>
        <v>0</v>
      </c>
      <c r="BD33" s="86">
        <f t="shared" si="38"/>
        <v>0</v>
      </c>
      <c r="BE33" s="86">
        <f>IF($C$17="SI",(C33*3*('Motore 2022'!$B$42+'Motore 2022'!$B$43+'Motore 2022'!$B$44)),(C33*1*('Motore 2022'!$B$41+'Motore 2022'!$B$42+'Motore 2022'!$B$43+'Motore 2022'!$B$44)))</f>
        <v>0</v>
      </c>
      <c r="BF33" s="87">
        <f>IF($C$17="SI",(D33*3*('Motore 2021'!$B$42+'Motore 2021'!$B$44)),(D33*1*('Motore 2021'!$B$41+'Motore 2021'!$B$42+'Motore 2021'!$D$43+'Motore 2021'!$B$44)))</f>
        <v>0</v>
      </c>
      <c r="BG33" s="86">
        <f>IF($C$17="SI",(C33*3*('Motore 2022'!$B$41+'Motore 2022'!$B$42+'Motore 2022'!$B$43+'Motore 2022'!$B$44))+((C33*3*('Motore 2022'!$B$41+'Motore 2022'!$B$42+'Motore 2022'!$B$43+'Motore 2022'!$B$44))*10%),(C33*1*('Motore 2022'!$B$41+'Motore 2022'!$B$42+'Motore 2022'!$B$43+'Motore 2022'!$B$44))+((C33*1*('Motore 2022'!$B$41+'Motore 2022'!$B$42+'Motore 2022'!$B$43+'Motore 2022'!$B$44))*10%))</f>
        <v>0</v>
      </c>
      <c r="BH33" s="86">
        <f>IF($C$17="SI",(D33*3*('Motore 2022'!$B$41+'Motore 2022'!$B$42+'Motore 2022'!$B$43+'Motore 2022'!$B$44))+((D33*3*('Motore 2022'!$B$41+'Motore 2022'!$B$42+'Motore 2022'!$B$43+'Motore 2022'!$B$44))*10%),(D33*1*('Motore 2022'!$B$41+'Motore 2022'!$B$42+'Motore 2022'!$B$43+'Motore 2022'!$B$44))+((D33*1*('Motore 2022'!$B$41+'Motore 2022'!$B$42+'Motore 2022'!$B$43+'Motore 2022'!$B$44))*10%))</f>
        <v>0</v>
      </c>
      <c r="BI33" s="86">
        <f t="shared" si="39"/>
        <v>0</v>
      </c>
      <c r="BJ33" s="86">
        <f t="shared" si="40"/>
        <v>0</v>
      </c>
      <c r="BK33" s="86">
        <f>IF(I33&lt;&gt;0,IF($C$17="SI",((('Motore 2022'!$B$47+'Motore 2022'!$B$50+'Motore 2022'!$B$53)/365)*$D$14)+(((('Motore 2022'!$B$47+'Motore 2022'!$B$50+'Motore 2021'!$B$53)/365)*$D$14)*10%),(('Motore 2022'!$B$53/365)*$D$14)+(('Motore 2022'!$B$53/365)*$D$14)*10%),0)</f>
        <v>0</v>
      </c>
      <c r="BL33" s="86">
        <f>IF(I33&lt;&gt;0,IF($C$17="SI",((('Motore 2021'!$B$47+'Motore 2021'!$B$50+'Motore 2021'!$B$53)/365)*$D$13)+(((('Motore 2021'!$B$47+'Motore 2021'!$B$50+'Motore 2021'!$B$53)/365)*$D$13)*10%),(('Motore 2021'!$B$53/365)*$D$13)+(('Motore 2021'!$B$53/365)*$D$13)*10%),0)</f>
        <v>0</v>
      </c>
      <c r="BM33" s="86">
        <f>IF(I33&lt;&gt;0,IF($C$17="SI",((('Motore 2022'!$B$47+'Motore 2022'!$B$50+'Motore 2022'!$B$53)/365)*$D$14),(('Motore 2022'!$B$53/365)*$D$14)),0)</f>
        <v>0</v>
      </c>
      <c r="BN33" s="86">
        <f>IF(I33&lt;&gt;0,IF($C$17="SI",((('Motore 2021'!$B$47+'Motore 2021'!$B$50+'Motore 2021'!$B$53)/365)*$D$13),(('Motore 2021'!$B$53/365)*$D$13)),0)</f>
        <v>0</v>
      </c>
      <c r="BO33" s="86">
        <f t="shared" si="41"/>
        <v>0</v>
      </c>
      <c r="BP33" s="88">
        <f t="shared" si="42"/>
        <v>0</v>
      </c>
      <c r="BQ33" s="42"/>
    </row>
    <row r="34" spans="1:69" ht="15.6" customHeight="1" x14ac:dyDescent="0.3">
      <c r="A34" s="76" t="s">
        <v>5</v>
      </c>
      <c r="B34" s="53">
        <v>0</v>
      </c>
      <c r="C34" s="53">
        <v>0</v>
      </c>
      <c r="D34" s="53">
        <v>0</v>
      </c>
      <c r="E34" s="53">
        <f t="shared" si="11"/>
        <v>4</v>
      </c>
      <c r="F34" s="53">
        <f t="shared" si="12"/>
        <v>0</v>
      </c>
      <c r="G34" s="59" t="s">
        <v>6</v>
      </c>
      <c r="H34" s="73">
        <f t="shared" si="13"/>
        <v>0</v>
      </c>
      <c r="I34" s="73">
        <f t="shared" si="14"/>
        <v>0</v>
      </c>
      <c r="J34" s="74">
        <f t="shared" si="15"/>
        <v>0</v>
      </c>
      <c r="K34" s="74">
        <f t="shared" si="0"/>
        <v>0</v>
      </c>
      <c r="L34" s="75">
        <f t="shared" si="16"/>
        <v>0</v>
      </c>
      <c r="M34" s="75">
        <f t="shared" si="17"/>
        <v>0</v>
      </c>
      <c r="N34" s="128">
        <f>IF(L34&lt;'Motore 2022'!$H$28,Ripartizione!L34,'Motore 2022'!$H$28)</f>
        <v>0</v>
      </c>
      <c r="O34" s="128">
        <f>IF(M34&lt;'Motore 2021'!$H$28,Ripartizione!M34,'Motore 2021'!$H$28)</f>
        <v>0</v>
      </c>
      <c r="P34" s="128">
        <f t="shared" si="18"/>
        <v>0</v>
      </c>
      <c r="Q34" s="128">
        <f t="shared" si="19"/>
        <v>0</v>
      </c>
      <c r="R34" s="128">
        <f>ROUND(P34*'Motore 2022'!$E$28,2)</f>
        <v>0</v>
      </c>
      <c r="S34" s="128">
        <f>ROUND(Q34*'Motore 2021'!$E$28,2)</f>
        <v>0</v>
      </c>
      <c r="T34" s="128">
        <f>IF((L34-N34)&lt;'Motore 2022'!$H$29,(L34-N34),'Motore 2022'!$H$29)</f>
        <v>0</v>
      </c>
      <c r="U34" s="128">
        <f>IF((M34-O34)&lt;'Motore 2021'!$H$29,(M34-O34),'Motore 2021'!$H$29)</f>
        <v>0</v>
      </c>
      <c r="V34" s="128">
        <f t="shared" si="20"/>
        <v>0</v>
      </c>
      <c r="W34" s="128">
        <f t="shared" si="21"/>
        <v>0</v>
      </c>
      <c r="X34" s="128">
        <f>ROUND(V34*'Motore 2022'!$E$29,2)</f>
        <v>0</v>
      </c>
      <c r="Y34" s="128">
        <f>ROUND(W34*'Motore 2021'!$E$29,2)</f>
        <v>0</v>
      </c>
      <c r="Z34" s="128">
        <f>IF(L34-N34-T34&lt;'Motore 2022'!$H$30,(Ripartizione!L34-Ripartizione!N34-Ripartizione!T34),'Motore 2022'!$H$30)</f>
        <v>0</v>
      </c>
      <c r="AA34" s="128">
        <f>IF(M34-O34-U34&lt;'Motore 2021'!$H$30,(Ripartizione!M34-Ripartizione!O34-Ripartizione!U34),'Motore 2021'!$H$30)</f>
        <v>0</v>
      </c>
      <c r="AB34" s="128">
        <f t="shared" si="22"/>
        <v>0</v>
      </c>
      <c r="AC34" s="128">
        <f t="shared" si="23"/>
        <v>0</v>
      </c>
      <c r="AD34" s="128">
        <f>ROUND(AB34*'Motore 2022'!$E$30,2)</f>
        <v>0</v>
      </c>
      <c r="AE34" s="128">
        <f>ROUND(AC34*'Motore 2021'!$E$30,2)</f>
        <v>0</v>
      </c>
      <c r="AF34" s="128">
        <f>IF((L34-N34-T34-Z34)&lt;'Motore 2022'!$H$31, (L34-N34-T34-Z34),'Motore 2022'!$H$31)</f>
        <v>0</v>
      </c>
      <c r="AG34" s="128">
        <f>IF((M34-O34-U34-AA34)&lt;'Motore 2021'!$H$31, (M34-O34-U34-AA34),'Motore 2021'!$H$31)</f>
        <v>0</v>
      </c>
      <c r="AH34" s="128">
        <f t="shared" si="24"/>
        <v>0</v>
      </c>
      <c r="AI34" s="128">
        <f t="shared" si="25"/>
        <v>0</v>
      </c>
      <c r="AJ34" s="128">
        <f>ROUND(AH34*'Motore 2022'!$E$31,2)</f>
        <v>0</v>
      </c>
      <c r="AK34" s="128">
        <f>ROUND(AI34*'Motore 2021'!$E$31,2)</f>
        <v>0</v>
      </c>
      <c r="AL34" s="128">
        <f t="shared" si="26"/>
        <v>0</v>
      </c>
      <c r="AM34" s="128">
        <f t="shared" si="27"/>
        <v>0</v>
      </c>
      <c r="AN34" s="128">
        <f t="shared" si="28"/>
        <v>0</v>
      </c>
      <c r="AO34" s="128">
        <f t="shared" si="29"/>
        <v>0</v>
      </c>
      <c r="AP34" s="128">
        <f>ROUND(AN34*'Motore 2022'!$E$32,2)</f>
        <v>0</v>
      </c>
      <c r="AQ34" s="128">
        <f>ROUND(AO34*'Motore 2021'!$E$32,2)</f>
        <v>0</v>
      </c>
      <c r="AR34" s="51">
        <f t="shared" si="30"/>
        <v>0</v>
      </c>
      <c r="AS34" s="51">
        <f t="shared" si="31"/>
        <v>0</v>
      </c>
      <c r="AT34" s="51">
        <f t="shared" si="32"/>
        <v>0</v>
      </c>
      <c r="AU34" s="51">
        <f t="shared" si="33"/>
        <v>0</v>
      </c>
      <c r="AV34" s="51">
        <f t="shared" si="34"/>
        <v>0</v>
      </c>
      <c r="AW34" s="51">
        <f t="shared" si="35"/>
        <v>0</v>
      </c>
      <c r="AX34" s="51">
        <f t="shared" si="36"/>
        <v>0</v>
      </c>
      <c r="AY34" s="51">
        <f>IF($C$17="SI",((C34*'Motore 2022'!$B$35) + (D34*'Motore 2021'!$B$35)),0)</f>
        <v>0</v>
      </c>
      <c r="AZ34" s="52">
        <f>IF($C$17="SI",((C34*'Motore 2022'!$B$35)+(C34*'Motore 2022'!$B$35)*10% + (D34*'Motore 2022'!$B$35)+(D34*'Motore 2022'!$B$35)*10%),0)</f>
        <v>0</v>
      </c>
      <c r="BA34" s="82">
        <f>IF($C$17="SI",(((C34*'Motore 2022'!$B$38))+((D34*'Motore 2021'!$B$38))),0)</f>
        <v>0</v>
      </c>
      <c r="BB34" s="52">
        <f>IF($C$17="SI",(((C34*'Motore 2022'!$B$38)+((C34*'Motore 2022'!$B$38)*10%))+((D34*'Motore 2022'!$B$38)+((D34*'Motore 2022'!$B$38)*10%))),0)</f>
        <v>0</v>
      </c>
      <c r="BC34" s="52">
        <f t="shared" si="37"/>
        <v>0</v>
      </c>
      <c r="BD34" s="86">
        <f t="shared" si="38"/>
        <v>0</v>
      </c>
      <c r="BE34" s="86">
        <f>IF($C$17="SI",(C34*3*('Motore 2022'!$B$42+'Motore 2022'!$B$43+'Motore 2022'!$B$44)),(C34*1*('Motore 2022'!$B$41+'Motore 2022'!$B$42+'Motore 2022'!$B$43+'Motore 2022'!$B$44)))</f>
        <v>0</v>
      </c>
      <c r="BF34" s="87">
        <f>IF($C$17="SI",(D34*3*('Motore 2021'!$B$42+'Motore 2021'!$B$44)),(D34*1*('Motore 2021'!$B$41+'Motore 2021'!$B$42+'Motore 2021'!$D$43+'Motore 2021'!$B$44)))</f>
        <v>0</v>
      </c>
      <c r="BG34" s="86">
        <f>IF($C$17="SI",(C34*3*('Motore 2022'!$B$41+'Motore 2022'!$B$42+'Motore 2022'!$B$43+'Motore 2022'!$B$44))+((C34*3*('Motore 2022'!$B$41+'Motore 2022'!$B$42+'Motore 2022'!$B$43+'Motore 2022'!$B$44))*10%),(C34*1*('Motore 2022'!$B$41+'Motore 2022'!$B$42+'Motore 2022'!$B$43+'Motore 2022'!$B$44))+((C34*1*('Motore 2022'!$B$41+'Motore 2022'!$B$42+'Motore 2022'!$B$43+'Motore 2022'!$B$44))*10%))</f>
        <v>0</v>
      </c>
      <c r="BH34" s="86">
        <f>IF($C$17="SI",(D34*3*('Motore 2022'!$B$41+'Motore 2022'!$B$42+'Motore 2022'!$B$43+'Motore 2022'!$B$44))+((D34*3*('Motore 2022'!$B$41+'Motore 2022'!$B$42+'Motore 2022'!$B$43+'Motore 2022'!$B$44))*10%),(D34*1*('Motore 2022'!$B$41+'Motore 2022'!$B$42+'Motore 2022'!$B$43+'Motore 2022'!$B$44))+((D34*1*('Motore 2022'!$B$41+'Motore 2022'!$B$42+'Motore 2022'!$B$43+'Motore 2022'!$B$44))*10%))</f>
        <v>0</v>
      </c>
      <c r="BI34" s="86">
        <f t="shared" si="39"/>
        <v>0</v>
      </c>
      <c r="BJ34" s="86">
        <f t="shared" si="40"/>
        <v>0</v>
      </c>
      <c r="BK34" s="86">
        <f>IF(I34&lt;&gt;0,IF($C$17="SI",((('Motore 2022'!$B$47+'Motore 2022'!$B$50+'Motore 2022'!$B$53)/365)*$D$14)+(((('Motore 2022'!$B$47+'Motore 2022'!$B$50+'Motore 2021'!$B$53)/365)*$D$14)*10%),(('Motore 2022'!$B$53/365)*$D$14)+(('Motore 2022'!$B$53/365)*$D$14)*10%),0)</f>
        <v>0</v>
      </c>
      <c r="BL34" s="86">
        <f>IF(I34&lt;&gt;0,IF($C$17="SI",((('Motore 2021'!$B$47+'Motore 2021'!$B$50+'Motore 2021'!$B$53)/365)*$D$13)+(((('Motore 2021'!$B$47+'Motore 2021'!$B$50+'Motore 2021'!$B$53)/365)*$D$13)*10%),(('Motore 2021'!$B$53/365)*$D$13)+(('Motore 2021'!$B$53/365)*$D$13)*10%),0)</f>
        <v>0</v>
      </c>
      <c r="BM34" s="86">
        <f>IF(I34&lt;&gt;0,IF($C$17="SI",((('Motore 2022'!$B$47+'Motore 2022'!$B$50+'Motore 2022'!$B$53)/365)*$D$14),(('Motore 2022'!$B$53/365)*$D$14)),0)</f>
        <v>0</v>
      </c>
      <c r="BN34" s="86">
        <f>IF(I34&lt;&gt;0,IF($C$17="SI",((('Motore 2021'!$B$47+'Motore 2021'!$B$50+'Motore 2021'!$B$53)/365)*$D$13),(('Motore 2021'!$B$53/365)*$D$13)),0)</f>
        <v>0</v>
      </c>
      <c r="BO34" s="86">
        <f t="shared" si="41"/>
        <v>0</v>
      </c>
      <c r="BP34" s="88">
        <f t="shared" si="42"/>
        <v>0</v>
      </c>
      <c r="BQ34" s="42"/>
    </row>
    <row r="35" spans="1:69" x14ac:dyDescent="0.3">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42"/>
    </row>
    <row r="36" spans="1:69" x14ac:dyDescent="0.3">
      <c r="A36" s="125"/>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42"/>
    </row>
    <row r="37" spans="1:69" x14ac:dyDescent="0.3">
      <c r="A37" s="42"/>
      <c r="B37" s="43"/>
      <c r="C37" s="125"/>
      <c r="D37" s="125"/>
      <c r="E37" s="125"/>
      <c r="F37" s="125"/>
      <c r="G37" s="42"/>
      <c r="H37" s="43"/>
      <c r="I37" s="43"/>
      <c r="J37" s="43"/>
      <c r="K37" s="43"/>
      <c r="L37" s="43"/>
      <c r="M37" s="43"/>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row>
    <row r="38" spans="1:69" x14ac:dyDescent="0.3">
      <c r="A38" s="42"/>
      <c r="B38" s="56"/>
      <c r="C38" s="125"/>
      <c r="D38" s="125"/>
      <c r="E38" s="125"/>
      <c r="F38" s="125"/>
      <c r="H38" s="57"/>
      <c r="I38" s="57"/>
      <c r="J38" s="57"/>
      <c r="K38" s="57"/>
      <c r="L38" s="57"/>
      <c r="M38" s="57"/>
    </row>
    <row r="39" spans="1:69" x14ac:dyDescent="0.3">
      <c r="A39" s="42"/>
      <c r="B39" s="56"/>
      <c r="C39" s="125"/>
      <c r="D39" s="125"/>
      <c r="E39" s="125"/>
      <c r="F39" s="125"/>
      <c r="H39" s="57"/>
      <c r="I39" s="57"/>
      <c r="J39" s="57"/>
      <c r="K39" s="57"/>
      <c r="L39" s="57"/>
      <c r="M39" s="57"/>
    </row>
    <row r="40" spans="1:69" x14ac:dyDescent="0.3">
      <c r="A40" s="42"/>
      <c r="B40" s="56"/>
      <c r="C40" s="125"/>
      <c r="D40" s="125"/>
      <c r="E40" s="125"/>
      <c r="F40" s="125"/>
      <c r="H40" s="57"/>
      <c r="I40" s="57"/>
      <c r="J40" s="57"/>
      <c r="K40" s="57"/>
      <c r="L40" s="57"/>
      <c r="M40" s="57"/>
    </row>
    <row r="41" spans="1:69" x14ac:dyDescent="0.3">
      <c r="A41" s="42"/>
      <c r="B41" s="56"/>
      <c r="C41" s="125"/>
      <c r="D41" s="125"/>
      <c r="E41" s="125"/>
      <c r="F41" s="125"/>
      <c r="H41" s="57"/>
      <c r="I41" s="57"/>
      <c r="J41" s="57"/>
      <c r="K41" s="57"/>
      <c r="L41" s="57"/>
      <c r="M41" s="57"/>
    </row>
    <row r="42" spans="1:69" x14ac:dyDescent="0.3">
      <c r="A42" s="42"/>
      <c r="B42" s="56"/>
      <c r="C42" s="125"/>
      <c r="D42" s="125"/>
      <c r="E42" s="125"/>
      <c r="F42" s="125"/>
      <c r="H42" s="57"/>
      <c r="I42" s="57"/>
      <c r="J42" s="57"/>
      <c r="K42" s="57"/>
      <c r="L42" s="57"/>
      <c r="M42" s="57"/>
    </row>
    <row r="43" spans="1:69" x14ac:dyDescent="0.3">
      <c r="A43" s="42"/>
      <c r="B43" s="56"/>
      <c r="C43" s="125"/>
      <c r="D43" s="125"/>
      <c r="E43" s="125"/>
      <c r="F43" s="125"/>
      <c r="H43" s="57"/>
      <c r="I43" s="57"/>
      <c r="J43" s="57"/>
      <c r="K43" s="57"/>
      <c r="L43" s="57"/>
      <c r="M43" s="57"/>
    </row>
    <row r="44" spans="1:69" x14ac:dyDescent="0.3">
      <c r="A44" s="42"/>
      <c r="C44" s="125"/>
      <c r="D44" s="125"/>
      <c r="E44" s="125"/>
      <c r="F44" s="125"/>
    </row>
    <row r="45" spans="1:69" x14ac:dyDescent="0.3">
      <c r="A45" s="42"/>
      <c r="C45" s="125"/>
      <c r="D45" s="125"/>
      <c r="E45" s="125"/>
      <c r="F45" s="125"/>
    </row>
    <row r="46" spans="1:69" x14ac:dyDescent="0.3">
      <c r="A46" s="42"/>
      <c r="C46" s="125"/>
      <c r="D46" s="125"/>
      <c r="E46" s="125"/>
      <c r="F46" s="125"/>
    </row>
    <row r="47" spans="1:69" x14ac:dyDescent="0.3">
      <c r="C47" s="125"/>
      <c r="D47" s="125"/>
      <c r="E47" s="125"/>
      <c r="F47" s="125"/>
    </row>
    <row r="48" spans="1:69" x14ac:dyDescent="0.3">
      <c r="C48" s="125"/>
      <c r="D48" s="125"/>
      <c r="E48" s="125"/>
      <c r="F48" s="125"/>
    </row>
    <row r="49" spans="3:6" x14ac:dyDescent="0.3">
      <c r="C49" s="125"/>
      <c r="D49" s="125"/>
      <c r="E49" s="125"/>
      <c r="F49" s="125"/>
    </row>
    <row r="50" spans="3:6" x14ac:dyDescent="0.3">
      <c r="C50" s="125"/>
      <c r="D50" s="125"/>
      <c r="E50" s="125"/>
      <c r="F50" s="125"/>
    </row>
    <row r="51" spans="3:6" x14ac:dyDescent="0.3">
      <c r="C51" s="125"/>
      <c r="D51" s="125"/>
      <c r="E51" s="125"/>
      <c r="F51" s="125"/>
    </row>
    <row r="52" spans="3:6" x14ac:dyDescent="0.3">
      <c r="C52" s="125"/>
      <c r="D52" s="125"/>
      <c r="E52" s="125"/>
      <c r="F52" s="125"/>
    </row>
    <row r="53" spans="3:6" x14ac:dyDescent="0.3">
      <c r="C53" s="125"/>
      <c r="D53" s="125"/>
      <c r="E53" s="125"/>
      <c r="F53" s="125"/>
    </row>
    <row r="54" spans="3:6" x14ac:dyDescent="0.3">
      <c r="C54" s="125"/>
      <c r="D54" s="125"/>
      <c r="E54" s="125"/>
      <c r="F54" s="125"/>
    </row>
    <row r="55" spans="3:6" x14ac:dyDescent="0.3">
      <c r="C55" s="125"/>
      <c r="D55" s="125"/>
      <c r="E55" s="125"/>
      <c r="F55" s="125"/>
    </row>
    <row r="56" spans="3:6" x14ac:dyDescent="0.3">
      <c r="C56" s="125"/>
      <c r="D56" s="125"/>
      <c r="E56" s="125"/>
      <c r="F56" s="125"/>
    </row>
    <row r="57" spans="3:6" x14ac:dyDescent="0.3">
      <c r="C57" s="125"/>
      <c r="D57" s="125"/>
      <c r="E57" s="125"/>
      <c r="F57" s="125"/>
    </row>
    <row r="58" spans="3:6" x14ac:dyDescent="0.3">
      <c r="C58" s="125"/>
      <c r="D58" s="125"/>
      <c r="E58" s="125"/>
      <c r="F58" s="125"/>
    </row>
    <row r="59" spans="3:6" x14ac:dyDescent="0.3">
      <c r="C59" s="125"/>
      <c r="D59" s="125"/>
      <c r="E59" s="125"/>
      <c r="F59" s="125"/>
    </row>
    <row r="60" spans="3:6" x14ac:dyDescent="0.3">
      <c r="C60" s="125"/>
      <c r="D60" s="125"/>
      <c r="E60" s="125"/>
      <c r="F60" s="125"/>
    </row>
    <row r="61" spans="3:6" x14ac:dyDescent="0.3">
      <c r="C61" s="125"/>
      <c r="D61" s="125"/>
      <c r="E61" s="125"/>
      <c r="F61" s="125"/>
    </row>
    <row r="62" spans="3:6" x14ac:dyDescent="0.3">
      <c r="C62" s="125"/>
      <c r="D62" s="125"/>
      <c r="E62" s="125"/>
      <c r="F62" s="125"/>
    </row>
    <row r="63" spans="3:6" x14ac:dyDescent="0.3">
      <c r="C63" s="125"/>
      <c r="D63" s="125"/>
      <c r="E63" s="125"/>
      <c r="F63" s="125"/>
    </row>
    <row r="64" spans="3:6" x14ac:dyDescent="0.3">
      <c r="C64" s="125"/>
      <c r="D64" s="125"/>
      <c r="E64" s="125"/>
      <c r="F64" s="125"/>
    </row>
    <row r="65" spans="3:6" x14ac:dyDescent="0.3">
      <c r="C65" s="125"/>
      <c r="D65" s="125"/>
      <c r="E65" s="125"/>
      <c r="F65" s="125"/>
    </row>
    <row r="66" spans="3:6" x14ac:dyDescent="0.3">
      <c r="C66" s="125"/>
      <c r="D66" s="125"/>
      <c r="E66" s="125"/>
      <c r="F66" s="125"/>
    </row>
    <row r="67" spans="3:6" x14ac:dyDescent="0.3">
      <c r="C67" s="125"/>
      <c r="D67" s="125"/>
      <c r="E67" s="125"/>
      <c r="F67" s="125"/>
    </row>
    <row r="68" spans="3:6" x14ac:dyDescent="0.3">
      <c r="C68" s="125"/>
      <c r="D68" s="125"/>
      <c r="E68" s="125"/>
      <c r="F68" s="125"/>
    </row>
    <row r="69" spans="3:6" x14ac:dyDescent="0.3">
      <c r="C69" s="125"/>
      <c r="D69" s="125"/>
      <c r="E69" s="125"/>
      <c r="F69" s="125"/>
    </row>
    <row r="70" spans="3:6" x14ac:dyDescent="0.3">
      <c r="C70" s="125"/>
      <c r="D70" s="125"/>
      <c r="E70" s="125"/>
      <c r="F70" s="125"/>
    </row>
    <row r="71" spans="3:6" x14ac:dyDescent="0.3">
      <c r="C71" s="125"/>
      <c r="D71" s="125"/>
      <c r="E71" s="125"/>
      <c r="F71" s="125"/>
    </row>
    <row r="72" spans="3:6" x14ac:dyDescent="0.3">
      <c r="C72" s="125"/>
      <c r="D72" s="125"/>
      <c r="E72" s="125"/>
      <c r="F72" s="125"/>
    </row>
    <row r="73" spans="3:6" x14ac:dyDescent="0.3">
      <c r="C73" s="125"/>
      <c r="D73" s="125"/>
      <c r="E73" s="125"/>
      <c r="F73" s="125"/>
    </row>
    <row r="74" spans="3:6" x14ac:dyDescent="0.3">
      <c r="C74" s="125"/>
      <c r="D74" s="125"/>
      <c r="E74" s="125"/>
      <c r="F74" s="125"/>
    </row>
    <row r="75" spans="3:6" x14ac:dyDescent="0.3">
      <c r="C75" s="125"/>
      <c r="D75" s="125"/>
      <c r="E75" s="125"/>
      <c r="F75" s="125"/>
    </row>
    <row r="76" spans="3:6" x14ac:dyDescent="0.3">
      <c r="C76" s="125"/>
      <c r="D76" s="125"/>
      <c r="E76" s="125"/>
      <c r="F76" s="125"/>
    </row>
    <row r="77" spans="3:6" x14ac:dyDescent="0.3">
      <c r="E77" s="125"/>
    </row>
    <row r="78" spans="3:6" x14ac:dyDescent="0.3">
      <c r="E78" s="125"/>
    </row>
    <row r="79" spans="3:6" x14ac:dyDescent="0.3">
      <c r="E79" s="125"/>
    </row>
    <row r="80" spans="3:6" x14ac:dyDescent="0.3">
      <c r="E80" s="42"/>
    </row>
    <row r="81" spans="5:5" x14ac:dyDescent="0.3">
      <c r="E81" s="56"/>
    </row>
    <row r="82" spans="5:5" x14ac:dyDescent="0.3">
      <c r="E82" s="56"/>
    </row>
    <row r="83" spans="5:5" x14ac:dyDescent="0.3">
      <c r="E83" s="56"/>
    </row>
    <row r="84" spans="5:5" x14ac:dyDescent="0.3">
      <c r="E84" s="56"/>
    </row>
    <row r="85" spans="5:5" x14ac:dyDescent="0.3">
      <c r="E85" s="56"/>
    </row>
    <row r="86" spans="5:5" x14ac:dyDescent="0.3">
      <c r="E86" s="56"/>
    </row>
  </sheetData>
  <sheetProtection algorithmName="SHA-512" hashValue="6pI0tX+S+zqNAqtwyiGJmt3hULGV+Qi/RdzMzOaGlQ71Ru24fOIXCyPc81FICUDis95U/FLV5k1HUiXi5Hny9w==" saltValue="az/myDUYvczbNtT9WTkTWA==" spinCount="100000" sheet="1" objects="1" scenarios="1"/>
  <mergeCells count="6">
    <mergeCell ref="A25:B25"/>
    <mergeCell ref="AS2:BP4"/>
    <mergeCell ref="BO24:BP24"/>
    <mergeCell ref="A20:B20"/>
    <mergeCell ref="AS6:BP19"/>
    <mergeCell ref="AY21:BP22"/>
  </mergeCells>
  <dataValidations xWindow="722" yWindow="709" count="10">
    <dataValidation type="list" allowBlank="1" showInputMessage="1" showErrorMessage="1" sqref="C17">
      <formula1>"SI, NO"</formula1>
    </dataValidation>
    <dataValidation type="whole" allowBlank="1" showInputMessage="1" showErrorMessage="1" promptTitle="Attenzione" prompt="Inserire solo numeri maggiori di Zero_x000a_" sqref="F27:F34">
      <formula1>0</formula1>
      <formula2>9999999</formula2>
    </dataValidation>
    <dataValidation type="whole" allowBlank="1" showInputMessage="1" showErrorMessage="1" sqref="D13:E14 F14 C16:F16 D17:F18">
      <formula1>1</formula1>
      <formula2>365</formula2>
    </dataValidation>
    <dataValidation type="list" allowBlank="1" showInputMessage="1" showErrorMessage="1" sqref="G27:G34">
      <formula1>"R,S"</formula1>
    </dataValidation>
    <dataValidation type="date" allowBlank="1" showInputMessage="1" showErrorMessage="1" promptTitle="Periodo Anno in Corso" prompt="Inserire una data compresa tra 01/01/2022 e 31/12/2022" sqref="B14">
      <formula1>44562</formula1>
      <formula2>44926</formula2>
    </dataValidation>
    <dataValidation type="date" allowBlank="1" showInputMessage="1" showErrorMessage="1" promptTitle="Periodo Anno in Corso" prompt="Inserire una data compresa tra il 01/01/2022 e il 31/12/2022" sqref="C14">
      <formula1>44562</formula1>
      <formula2>44926</formula2>
    </dataValidation>
    <dataValidation type="date" allowBlank="1" showInputMessage="1" showErrorMessage="1" promptTitle="Periodo Anno Precedente" prompt="Inserire una data compresa tra il 01/01/2021 e il 31/12/2021" sqref="B13:C13">
      <formula1>44197</formula1>
      <formula2>44561</formula2>
    </dataValidation>
    <dataValidation type="whole" allowBlank="1" showInputMessage="1" showErrorMessage="1" sqref="C20">
      <formula1>0</formula1>
      <formula2>8</formula2>
    </dataValidation>
    <dataValidation type="whole" allowBlank="1" showErrorMessage="1" promptTitle="Attenzione" prompt="Inserire solo numeri compresi tra 1 e 100_x000a_" sqref="B27:B34">
      <formula1>0</formula1>
      <formula2>100</formula2>
    </dataValidation>
    <dataValidation type="whole" allowBlank="1" showErrorMessage="1" promptTitle="Attenzione" prompt="Inserire solo numeri maggiori di Zero_x000a_" sqref="C27:E34">
      <formula1>0</formula1>
      <formula2>9999999</formula2>
    </dataValidation>
  </dataValidations>
  <pageMargins left="0.70866141732283472" right="0.70866141732283472" top="0.74803149606299213" bottom="0.74803149606299213" header="0.31496062992125984" footer="0.31496062992125984"/>
  <pageSetup paperSize="9" scale="41" orientation="landscape" horizontalDpi="4294967293" verticalDpi="300" r:id="rId1"/>
  <headerFooter>
    <oddHeader>&amp;LAcquedotto Pugliese S.p.A.
Customer Management&amp;RMotore di ripartizione consumi Puglia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46" sqref="F4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vt:i4>
      </vt:variant>
    </vt:vector>
  </HeadingPairs>
  <TitlesOfParts>
    <vt:vector size="5" baseType="lpstr">
      <vt:lpstr>Motore 2021</vt:lpstr>
      <vt:lpstr>Motore 2022</vt:lpstr>
      <vt:lpstr>Ripartizione</vt:lpstr>
      <vt:lpstr>Foglio1</vt:lpstr>
      <vt:lpstr>Ripartizione!Area_stampa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Lovecchio Francesco</dc:creator>
  <cp:lastModifiedBy>Cotrona Angela</cp:lastModifiedBy>
  <cp:lastPrinted>2022-03-31T14:02:29Z</cp:lastPrinted>
  <dcterms:created xsi:type="dcterms:W3CDTF">2022-02-11T12:43:31Z</dcterms:created>
  <dcterms:modified xsi:type="dcterms:W3CDTF">2022-10-18T09:08:51Z</dcterms:modified>
</cp:coreProperties>
</file>